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20" yWindow="-165" windowWidth="7650" windowHeight="9105"/>
  </bookViews>
  <sheets>
    <sheet name="foglio1" sheetId="50" r:id="rId1"/>
    <sheet name="servizio" sheetId="45" r:id="rId2"/>
    <sheet name="posizioni economiche" sheetId="38" r:id="rId3"/>
    <sheet name="assenze" sheetId="49" r:id="rId4"/>
  </sheets>
  <definedNames>
    <definedName name="_xlnm._FilterDatabase" localSheetId="3" hidden="1">assenze!$A$1:$F$66</definedName>
    <definedName name="_xlnm._FilterDatabase" localSheetId="2" hidden="1">'posizioni economiche'!$A$3:$F$60</definedName>
    <definedName name="_xlnm._FilterDatabase" localSheetId="1" hidden="1">servizio!$B$32:$N$58</definedName>
    <definedName name="_xlnm.Print_Area" localSheetId="0">foglio1!$A$1:$N$83</definedName>
  </definedNames>
  <calcPr calcId="125725" iterateDelta="1E-4"/>
</workbook>
</file>

<file path=xl/calcChain.xml><?xml version="1.0" encoding="utf-8"?>
<calcChain xmlns="http://schemas.openxmlformats.org/spreadsheetml/2006/main">
  <c r="C101" i="45"/>
  <c r="N45" i="50"/>
  <c r="N35"/>
  <c r="L24"/>
  <c r="M24" s="1"/>
  <c r="I26" i="45"/>
  <c r="H19"/>
  <c r="H20"/>
  <c r="H21"/>
  <c r="H22"/>
  <c r="H23"/>
  <c r="H24"/>
  <c r="H25"/>
  <c r="H26"/>
  <c r="H27"/>
  <c r="H28"/>
  <c r="H18"/>
  <c r="G26"/>
  <c r="F26"/>
  <c r="A27"/>
  <c r="A26"/>
  <c r="C125"/>
  <c r="C119" l="1"/>
  <c r="D125" s="1"/>
  <c r="J28"/>
  <c r="J27"/>
  <c r="J25"/>
  <c r="J24"/>
  <c r="J23"/>
  <c r="J22"/>
  <c r="J21"/>
  <c r="J18"/>
  <c r="J29" s="1"/>
  <c r="K28" s="1"/>
  <c r="G20"/>
  <c r="G19"/>
  <c r="K18" l="1"/>
  <c r="K24"/>
  <c r="K22"/>
  <c r="K27"/>
  <c r="K21"/>
  <c r="K25"/>
  <c r="K23"/>
  <c r="A29" i="50"/>
  <c r="C124" i="45"/>
  <c r="C110"/>
  <c r="D114" s="1"/>
  <c r="D106"/>
  <c r="D97"/>
  <c r="D88"/>
  <c r="D80"/>
  <c r="D115" l="1"/>
  <c r="D116"/>
  <c r="D112"/>
  <c r="D111"/>
  <c r="D113"/>
  <c r="D72"/>
  <c r="C63"/>
  <c r="D68"/>
  <c r="G50"/>
  <c r="C76" s="1"/>
  <c r="C93" s="1"/>
  <c r="G51"/>
  <c r="C77" s="1"/>
  <c r="C94" s="1"/>
  <c r="D61"/>
  <c r="P32"/>
  <c r="N58"/>
  <c r="J58"/>
  <c r="K58"/>
  <c r="L58"/>
  <c r="O58"/>
  <c r="A34"/>
  <c r="F50"/>
  <c r="C74"/>
  <c r="C92" s="1"/>
  <c r="C73"/>
  <c r="D117" l="1"/>
  <c r="M58"/>
  <c r="C72"/>
  <c r="D76" s="1"/>
  <c r="D75" l="1"/>
  <c r="D73"/>
  <c r="D74"/>
  <c r="D77"/>
  <c r="D78" l="1"/>
  <c r="F9"/>
  <c r="C58" i="49"/>
  <c r="I50"/>
  <c r="I49"/>
  <c r="I40"/>
  <c r="I38"/>
  <c r="I31"/>
  <c r="I27"/>
  <c r="I22"/>
  <c r="I14"/>
  <c r="I9"/>
  <c r="F5" i="45"/>
  <c r="F10"/>
  <c r="F4"/>
  <c r="C62"/>
  <c r="D62"/>
  <c r="F8" i="50" l="1"/>
  <c r="D64" i="45"/>
  <c r="D66"/>
  <c r="D69"/>
  <c r="D70" l="1"/>
  <c r="D63"/>
  <c r="E66"/>
  <c r="G54"/>
  <c r="G52"/>
  <c r="G45"/>
  <c r="G43"/>
  <c r="F43"/>
  <c r="G42"/>
  <c r="G41"/>
  <c r="C100" s="1"/>
  <c r="G40"/>
  <c r="C83" s="1"/>
  <c r="C99" s="1"/>
  <c r="G38"/>
  <c r="F38"/>
  <c r="G57"/>
  <c r="G56"/>
  <c r="C84" s="1"/>
  <c r="C102" s="1"/>
  <c r="G55"/>
  <c r="G53"/>
  <c r="G49"/>
  <c r="G48"/>
  <c r="C123" s="1"/>
  <c r="G47"/>
  <c r="G46"/>
  <c r="C91" s="1"/>
  <c r="C122" s="1"/>
  <c r="G44"/>
  <c r="G39"/>
  <c r="C82" s="1"/>
  <c r="C98" s="1"/>
  <c r="G37"/>
  <c r="G36"/>
  <c r="C81" s="1"/>
  <c r="G35"/>
  <c r="C120" s="1"/>
  <c r="G34"/>
  <c r="C89" s="1"/>
  <c r="G33"/>
  <c r="A35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19"/>
  <c r="A20" s="1"/>
  <c r="A21" s="1"/>
  <c r="A22" s="1"/>
  <c r="A23" s="1"/>
  <c r="A24" s="1"/>
  <c r="A25" s="1"/>
  <c r="A28" s="1"/>
  <c r="A4"/>
  <c r="A5" s="1"/>
  <c r="A6" s="1"/>
  <c r="A7" s="1"/>
  <c r="A8" s="1"/>
  <c r="A9" s="1"/>
  <c r="A10" s="1"/>
  <c r="A11" s="1"/>
  <c r="A12" s="1"/>
  <c r="A13" s="1"/>
  <c r="F52"/>
  <c r="F54"/>
  <c r="F51"/>
  <c r="F45"/>
  <c r="F42"/>
  <c r="F41"/>
  <c r="F40"/>
  <c r="F35"/>
  <c r="F34"/>
  <c r="F33"/>
  <c r="F57"/>
  <c r="F56"/>
  <c r="F55"/>
  <c r="F53"/>
  <c r="F49"/>
  <c r="F48"/>
  <c r="F47"/>
  <c r="F46"/>
  <c r="F44"/>
  <c r="F39"/>
  <c r="F37"/>
  <c r="F36"/>
  <c r="L16" i="50"/>
  <c r="G25" i="45"/>
  <c r="G21"/>
  <c r="G28"/>
  <c r="G27"/>
  <c r="G24"/>
  <c r="G23"/>
  <c r="G22"/>
  <c r="G18"/>
  <c r="F21"/>
  <c r="F20"/>
  <c r="F24"/>
  <c r="F25"/>
  <c r="F28"/>
  <c r="F27"/>
  <c r="F23"/>
  <c r="F22"/>
  <c r="F19"/>
  <c r="F18"/>
  <c r="A77" i="50"/>
  <c r="A78" s="1"/>
  <c r="A79" s="1"/>
  <c r="A80" s="1"/>
  <c r="A81" s="1"/>
  <c r="A82" s="1"/>
  <c r="A83" s="1"/>
  <c r="C90" i="45" l="1"/>
  <c r="C88" s="1"/>
  <c r="C121"/>
  <c r="C97"/>
  <c r="D101" s="1"/>
  <c r="C80"/>
  <c r="G58"/>
  <c r="G29"/>
  <c r="A69" i="50"/>
  <c r="A70" s="1"/>
  <c r="A71" s="1"/>
  <c r="A72" s="1"/>
  <c r="A73" s="1"/>
  <c r="A74" s="1"/>
  <c r="F11" i="45"/>
  <c r="F13"/>
  <c r="F12"/>
  <c r="I12" s="1"/>
  <c r="F8"/>
  <c r="F7"/>
  <c r="F6"/>
  <c r="F3"/>
  <c r="F68" i="50"/>
  <c r="F72"/>
  <c r="F71"/>
  <c r="F70"/>
  <c r="A64"/>
  <c r="A65" s="1"/>
  <c r="A66" s="1"/>
  <c r="D98" i="45" l="1"/>
  <c r="D100"/>
  <c r="D99"/>
  <c r="D102"/>
  <c r="D92"/>
  <c r="D93"/>
  <c r="D91"/>
  <c r="D90"/>
  <c r="D89"/>
  <c r="D94"/>
  <c r="D122"/>
  <c r="D121"/>
  <c r="D120"/>
  <c r="D124"/>
  <c r="D123"/>
  <c r="D81"/>
  <c r="D83"/>
  <c r="D82"/>
  <c r="D84"/>
  <c r="H34"/>
  <c r="H38"/>
  <c r="H42"/>
  <c r="H46"/>
  <c r="H50"/>
  <c r="H54"/>
  <c r="H33"/>
  <c r="H40"/>
  <c r="H48"/>
  <c r="H56"/>
  <c r="H39"/>
  <c r="H47"/>
  <c r="I47" s="1"/>
  <c r="H55"/>
  <c r="H37"/>
  <c r="H41"/>
  <c r="H45"/>
  <c r="H49"/>
  <c r="H53"/>
  <c r="H57"/>
  <c r="H36"/>
  <c r="I36" s="1"/>
  <c r="H44"/>
  <c r="H52"/>
  <c r="I52" s="1"/>
  <c r="H35"/>
  <c r="H43"/>
  <c r="H51"/>
  <c r="D126" l="1"/>
  <c r="D103"/>
  <c r="D95"/>
  <c r="D85"/>
  <c r="H29"/>
  <c r="L29" i="50"/>
  <c r="M29" s="1"/>
  <c r="L30"/>
  <c r="M30" s="1"/>
  <c r="L31"/>
  <c r="M31" s="1"/>
  <c r="L32"/>
  <c r="M32" s="1"/>
  <c r="L33"/>
  <c r="M33" s="1"/>
  <c r="L34"/>
  <c r="M34" s="1"/>
  <c r="L22"/>
  <c r="L23"/>
  <c r="M23" l="1"/>
  <c r="N22"/>
  <c r="M22" s="1"/>
  <c r="L45"/>
  <c r="M45" s="1"/>
  <c r="L46"/>
  <c r="M46" s="1"/>
  <c r="A17"/>
  <c r="L10"/>
  <c r="M10" l="1"/>
  <c r="K53" l="1"/>
  <c r="E53"/>
  <c r="K27"/>
  <c r="I27"/>
  <c r="H27"/>
  <c r="G27"/>
  <c r="F27"/>
  <c r="E27"/>
  <c r="L26"/>
  <c r="M26" s="1"/>
  <c r="L25"/>
  <c r="L21"/>
  <c r="L20"/>
  <c r="M20" s="1"/>
  <c r="L18"/>
  <c r="L17"/>
  <c r="A18"/>
  <c r="A19" s="1"/>
  <c r="A20" s="1"/>
  <c r="A21" s="1"/>
  <c r="K15"/>
  <c r="H15"/>
  <c r="F15"/>
  <c r="E15"/>
  <c r="G15"/>
  <c r="A5"/>
  <c r="A6" s="1"/>
  <c r="A7" s="1"/>
  <c r="A8" s="1"/>
  <c r="A9" s="1"/>
  <c r="N21" l="1"/>
  <c r="M18"/>
  <c r="M17"/>
  <c r="A30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K54"/>
  <c r="A10"/>
  <c r="A11" s="1"/>
  <c r="A12" s="1"/>
  <c r="A13" s="1"/>
  <c r="A14" s="1"/>
  <c r="A22"/>
  <c r="L4"/>
  <c r="J15"/>
  <c r="E54"/>
  <c r="H53"/>
  <c r="H54" s="1"/>
  <c r="I15"/>
  <c r="L9"/>
  <c r="M9" s="1"/>
  <c r="D27"/>
  <c r="L8"/>
  <c r="L11"/>
  <c r="M11" s="1"/>
  <c r="L13"/>
  <c r="M13" s="1"/>
  <c r="D15"/>
  <c r="L6"/>
  <c r="M6" s="1"/>
  <c r="L14"/>
  <c r="L12"/>
  <c r="M12" s="1"/>
  <c r="L5"/>
  <c r="M5" s="1"/>
  <c r="L7"/>
  <c r="M7" s="1"/>
  <c r="M21" l="1"/>
  <c r="N25"/>
  <c r="M25" s="1"/>
  <c r="A23"/>
  <c r="A24" s="1"/>
  <c r="A25" s="1"/>
  <c r="A26" s="1"/>
  <c r="M4"/>
  <c r="M8"/>
  <c r="N14"/>
  <c r="L19"/>
  <c r="M16"/>
  <c r="N27" l="1"/>
  <c r="M14"/>
  <c r="M15" s="1"/>
  <c r="M19"/>
  <c r="M27" s="1"/>
  <c r="L27"/>
  <c r="Q27" s="1"/>
  <c r="N15"/>
  <c r="L15"/>
  <c r="Q15" s="1"/>
  <c r="J27"/>
  <c r="O27" l="1"/>
  <c r="O15"/>
  <c r="F53" l="1"/>
  <c r="F54" s="1"/>
  <c r="F58" i="45" l="1"/>
  <c r="H58" s="1"/>
  <c r="F29"/>
  <c r="F14" l="1"/>
  <c r="H11" l="1"/>
  <c r="H3"/>
  <c r="H9"/>
  <c r="H13"/>
  <c r="H4"/>
  <c r="H5"/>
  <c r="H10"/>
  <c r="G53" i="50"/>
  <c r="G54" s="1"/>
  <c r="L47"/>
  <c r="M47" s="1"/>
  <c r="L41"/>
  <c r="M41" s="1"/>
  <c r="I10" i="45" l="1"/>
  <c r="I4"/>
  <c r="I5"/>
  <c r="L48" i="50"/>
  <c r="M48" s="1"/>
  <c r="L38"/>
  <c r="M38" s="1"/>
  <c r="L42"/>
  <c r="M42" s="1"/>
  <c r="L35"/>
  <c r="M35" s="1"/>
  <c r="L28"/>
  <c r="L37"/>
  <c r="M37" s="1"/>
  <c r="H14" i="45"/>
  <c r="I14" l="1"/>
  <c r="L40" i="50"/>
  <c r="M40" s="1"/>
  <c r="L36"/>
  <c r="M36" s="1"/>
  <c r="L49"/>
  <c r="M49" s="1"/>
  <c r="M28"/>
  <c r="K29" i="45"/>
  <c r="L39" i="50" l="1"/>
  <c r="M39" s="1"/>
  <c r="L52" l="1"/>
  <c r="M52" s="1"/>
  <c r="D53"/>
  <c r="D54" s="1"/>
  <c r="L50" l="1"/>
  <c r="M50" s="1"/>
  <c r="L44"/>
  <c r="N44" s="1"/>
  <c r="L43" l="1"/>
  <c r="M44"/>
  <c r="M43" l="1"/>
  <c r="N43"/>
  <c r="N53" s="1"/>
  <c r="I58" i="45"/>
  <c r="P58" s="1"/>
  <c r="L51" i="50"/>
  <c r="I53"/>
  <c r="I54" s="1"/>
  <c r="Q51" l="1"/>
  <c r="N54"/>
  <c r="J53"/>
  <c r="J54" s="1"/>
  <c r="M51"/>
  <c r="L53"/>
  <c r="Q53" s="1"/>
  <c r="M53" l="1"/>
  <c r="O53" s="1"/>
  <c r="O54" s="1"/>
  <c r="L54"/>
  <c r="M54" l="1"/>
</calcChain>
</file>

<file path=xl/sharedStrings.xml><?xml version="1.0" encoding="utf-8"?>
<sst xmlns="http://schemas.openxmlformats.org/spreadsheetml/2006/main" count="864" uniqueCount="275">
  <si>
    <t>Assistenti tecnici</t>
  </si>
  <si>
    <t>Collaboratori Scolastici</t>
  </si>
  <si>
    <t xml:space="preserve">Assistenti amministrativi </t>
  </si>
  <si>
    <t>Nominativo</t>
  </si>
  <si>
    <t>Totale assistenti tecnici:</t>
  </si>
  <si>
    <t>Totale generale:</t>
  </si>
  <si>
    <t>Legenda:</t>
  </si>
  <si>
    <t xml:space="preserve">Totale assistenti amm.vi </t>
  </si>
  <si>
    <t>Totale collab. scolastici:</t>
  </si>
  <si>
    <t>Compenso totale</t>
  </si>
  <si>
    <t>di cui fondo</t>
  </si>
  <si>
    <t>di cui inc. specifico</t>
  </si>
  <si>
    <t>I.I.S.S. "Pascal-Comandini" - CESENA</t>
  </si>
  <si>
    <t>DE FILIPPIS</t>
  </si>
  <si>
    <t>GERALDINA ANNA</t>
  </si>
  <si>
    <t>GABELLINI</t>
  </si>
  <si>
    <t>EMILIANA</t>
  </si>
  <si>
    <t>GUIDUCCI</t>
  </si>
  <si>
    <t>FRANCESCA</t>
  </si>
  <si>
    <t>MAESTRI</t>
  </si>
  <si>
    <t>LOREDANA</t>
  </si>
  <si>
    <t>MIGLIORI</t>
  </si>
  <si>
    <t>ALESSANDRA</t>
  </si>
  <si>
    <t>PIERI</t>
  </si>
  <si>
    <t>LORA</t>
  </si>
  <si>
    <t>SILVESTRI</t>
  </si>
  <si>
    <t>MARIA GRAZIA</t>
  </si>
  <si>
    <t>TREQUADRINI</t>
  </si>
  <si>
    <t>TITINA</t>
  </si>
  <si>
    <t xml:space="preserve">BAGLIVO </t>
  </si>
  <si>
    <t>ROCCO</t>
  </si>
  <si>
    <t>PAOLO</t>
  </si>
  <si>
    <t>CAMPRINI</t>
  </si>
  <si>
    <t>LORENZO</t>
  </si>
  <si>
    <t>FERRETTI</t>
  </si>
  <si>
    <t>MARCO</t>
  </si>
  <si>
    <t>ROVERSI</t>
  </si>
  <si>
    <t>GIUSEPPE</t>
  </si>
  <si>
    <t>TURRONI</t>
  </si>
  <si>
    <t>ALESSANDRINI</t>
  </si>
  <si>
    <t>BRIGLIADORI DI LELLA</t>
  </si>
  <si>
    <t>MARIA CRISTINA</t>
  </si>
  <si>
    <t>CILLO</t>
  </si>
  <si>
    <t>MARIA</t>
  </si>
  <si>
    <t>KATIA</t>
  </si>
  <si>
    <t>GUERRA</t>
  </si>
  <si>
    <t>ZORIO</t>
  </si>
  <si>
    <t>LIPANI</t>
  </si>
  <si>
    <t>MARIA GIUSEPPINA</t>
  </si>
  <si>
    <t>MARIOTTI</t>
  </si>
  <si>
    <t>GERARDO</t>
  </si>
  <si>
    <t xml:space="preserve">PIRRINI </t>
  </si>
  <si>
    <t>MARIDE</t>
  </si>
  <si>
    <t>PRATI</t>
  </si>
  <si>
    <t>PATRIZIA</t>
  </si>
  <si>
    <t xml:space="preserve">RICCI </t>
  </si>
  <si>
    <t>MAURIZIO</t>
  </si>
  <si>
    <t>VISCONTI</t>
  </si>
  <si>
    <t xml:space="preserve">ZOFFOLI </t>
  </si>
  <si>
    <t>Incremento del lavoro derivante dall'assenza dei colleghi durante l'ordinario orario di servizio</t>
  </si>
  <si>
    <t xml:space="preserve">posizioni economiche ata </t>
  </si>
  <si>
    <t>COGNOME</t>
  </si>
  <si>
    <t>NOME</t>
  </si>
  <si>
    <t>QUAL.</t>
  </si>
  <si>
    <t>SEDE</t>
  </si>
  <si>
    <t>posizione economica</t>
  </si>
  <si>
    <t>attività proposta  per posizione economica</t>
  </si>
  <si>
    <t>C.S.</t>
  </si>
  <si>
    <t>pascal</t>
  </si>
  <si>
    <t>1^ pos.</t>
  </si>
  <si>
    <t>assistenza agli alunni diversamente abili e interventi di primo soccorso</t>
  </si>
  <si>
    <t>no</t>
  </si>
  <si>
    <t>A.T. ar08</t>
  </si>
  <si>
    <t>2^ pos.</t>
  </si>
  <si>
    <t>comandini</t>
  </si>
  <si>
    <t>A.T. ar01</t>
  </si>
  <si>
    <t>A.T. ar02</t>
  </si>
  <si>
    <t>A.A.</t>
  </si>
  <si>
    <t>A.T. ar22</t>
  </si>
  <si>
    <t>A.A. /DOC</t>
  </si>
  <si>
    <t>A.T. ar23</t>
  </si>
  <si>
    <t xml:space="preserve">Incremento del lavoro derivante dall'assenza dei colleghi in orario di servizio </t>
  </si>
  <si>
    <t xml:space="preserve">Piccole manutenzioni </t>
  </si>
  <si>
    <t>MONALDI</t>
  </si>
  <si>
    <t>MARA</t>
  </si>
  <si>
    <t>LODOVICHETTI</t>
  </si>
  <si>
    <t>FLAVIO</t>
  </si>
  <si>
    <t>Riparazione apparati elettronici</t>
  </si>
  <si>
    <t xml:space="preserve"> coordinamento, in base alle indicazioni dell'ufficio tecnico e della dsga, della movimentazione e/o radiazione di beni inventariati, collocazione e sistemazione materiale da cedere tramite asta o da eliminare</t>
  </si>
  <si>
    <t xml:space="preserve">C.S. </t>
  </si>
  <si>
    <t>FABERI</t>
  </si>
  <si>
    <t>ANNAMARIA</t>
  </si>
  <si>
    <t>pascal/comandini</t>
  </si>
  <si>
    <t>GALANTUOMO</t>
  </si>
  <si>
    <t>GABRIELE</t>
  </si>
  <si>
    <t>GUGNONI</t>
  </si>
  <si>
    <t>CRISTINA</t>
  </si>
  <si>
    <t xml:space="preserve">Coordinamento attività collaboratori scolastici e organizzazione aule  </t>
  </si>
  <si>
    <t xml:space="preserve">Incremento del lavoro derivante dall'assenza dei colleghi anche con prolungamento dell'orario di servizio </t>
  </si>
  <si>
    <t xml:space="preserve">Ufficio fotocopie  Pascal </t>
  </si>
  <si>
    <t>SILVIA</t>
  </si>
  <si>
    <t>ZAVALLONI</t>
  </si>
  <si>
    <t xml:space="preserve">MIGLIORI </t>
  </si>
  <si>
    <t>incarichi specifici 5 unità a.t. 5 unità a.a. e 21 c.s. vedi contratto d'istituto</t>
  </si>
  <si>
    <t>voce 1</t>
  </si>
  <si>
    <t>voce 6</t>
  </si>
  <si>
    <t>DISP.I.S.</t>
  </si>
  <si>
    <t>CONS. 5 UNITA'</t>
  </si>
  <si>
    <t>CONS. 21 UNITA'</t>
  </si>
  <si>
    <t>voce 2</t>
  </si>
  <si>
    <t>voce 3</t>
  </si>
  <si>
    <t>voce 4</t>
  </si>
  <si>
    <t>voce 5</t>
  </si>
  <si>
    <t>Pirrini</t>
  </si>
  <si>
    <t>NR.</t>
  </si>
  <si>
    <t>LUOGO DI NASCITA</t>
  </si>
  <si>
    <t>DATA DI NASCITA</t>
  </si>
  <si>
    <t>CESENA</t>
  </si>
  <si>
    <t>SCAFATI (SA)</t>
  </si>
  <si>
    <t>MIGGIANO</t>
  </si>
  <si>
    <t>MERCATO SARACENO</t>
  </si>
  <si>
    <t>POTENZA</t>
  </si>
  <si>
    <t>MARCIANISE (CE)</t>
  </si>
  <si>
    <t xml:space="preserve">STATI UNITI </t>
  </si>
  <si>
    <t>GRAGNANO (NA)</t>
  </si>
  <si>
    <t>BENEVENTO</t>
  </si>
  <si>
    <t>NAPOLI</t>
  </si>
  <si>
    <t>CIVITELLA DI ROMAGNA</t>
  </si>
  <si>
    <t>FORLIMPOPOLI</t>
  </si>
  <si>
    <t>CALTANISSETTA</t>
  </si>
  <si>
    <t>RIMINI</t>
  </si>
  <si>
    <t>RONCOFREDDO</t>
  </si>
  <si>
    <t>CERVIA</t>
  </si>
  <si>
    <t>CASTIGLIONE MESSER RAIMO</t>
  </si>
  <si>
    <t>FRANCIA</t>
  </si>
  <si>
    <t>CESENATICO</t>
  </si>
  <si>
    <t>Lipani</t>
  </si>
  <si>
    <t>voce 2 pascal</t>
  </si>
  <si>
    <t>voce 2 comandini</t>
  </si>
  <si>
    <t>prati</t>
  </si>
  <si>
    <t>cillo</t>
  </si>
  <si>
    <t>IL DIRIGENTE SCOLASTICO</t>
  </si>
  <si>
    <t>Prof. Francesco Postiglione</t>
  </si>
  <si>
    <t>Riduzione per assenze</t>
  </si>
  <si>
    <t xml:space="preserve">Sostituzione dsga </t>
  </si>
  <si>
    <t xml:space="preserve"> 2^</t>
  </si>
  <si>
    <t>PARI</t>
  </si>
  <si>
    <t>MARILENA</t>
  </si>
  <si>
    <t>DI VICO</t>
  </si>
  <si>
    <t>CATERINA</t>
  </si>
  <si>
    <t>DONNARUMMA</t>
  </si>
  <si>
    <t>SALVATORE</t>
  </si>
  <si>
    <t>GARDINI</t>
  </si>
  <si>
    <t>LEARCO</t>
  </si>
  <si>
    <t>GAROIA</t>
  </si>
  <si>
    <t>GIAN MARIA ANTONIO</t>
  </si>
  <si>
    <t>AQUINO</t>
  </si>
  <si>
    <t>ROSA</t>
  </si>
  <si>
    <t>BERTOLLINI</t>
  </si>
  <si>
    <t>MARIA ROSARIA</t>
  </si>
  <si>
    <t>BORRIELLO</t>
  </si>
  <si>
    <t>CAPORALI</t>
  </si>
  <si>
    <t>CAZZETTA</t>
  </si>
  <si>
    <t>CHIARA</t>
  </si>
  <si>
    <t xml:space="preserve">CIRILLO </t>
  </si>
  <si>
    <t>DOMENICO</t>
  </si>
  <si>
    <t xml:space="preserve">DEL SORBO </t>
  </si>
  <si>
    <t>DONINI</t>
  </si>
  <si>
    <t>LORETTA</t>
  </si>
  <si>
    <t>LEONETTI</t>
  </si>
  <si>
    <t>RIPALTA</t>
  </si>
  <si>
    <t>MANCINI</t>
  </si>
  <si>
    <t>BERNARDO</t>
  </si>
  <si>
    <t>PADULA</t>
  </si>
  <si>
    <t>PAUDICE</t>
  </si>
  <si>
    <t>GAETANO</t>
  </si>
  <si>
    <t>PETTI</t>
  </si>
  <si>
    <t>PIETRO</t>
  </si>
  <si>
    <t>RANDAZZO</t>
  </si>
  <si>
    <t>TURCO</t>
  </si>
  <si>
    <t>VINCENZO</t>
  </si>
  <si>
    <t>01.10.19-30.06.20</t>
  </si>
  <si>
    <t>01.09.19-30.06.20</t>
  </si>
  <si>
    <t>GOLINELLI</t>
  </si>
  <si>
    <t xml:space="preserve">GAROIA </t>
  </si>
  <si>
    <t>23.09.19-30.06.20</t>
  </si>
  <si>
    <t>23.09.19-18.01.20</t>
  </si>
  <si>
    <t>24.09.19-30.06.20</t>
  </si>
  <si>
    <t>11.10.19-30.06.20</t>
  </si>
  <si>
    <t>6 ORE SETTIMANALI</t>
  </si>
  <si>
    <t>18 ORE SETTIMANALI</t>
  </si>
  <si>
    <t>27 ORE SETTIMANALI</t>
  </si>
  <si>
    <t>30 ORE SETTIMANALI</t>
  </si>
  <si>
    <t>05.10.19-08.04.20</t>
  </si>
  <si>
    <t>30 ORE  SETTIMANALI</t>
  </si>
  <si>
    <t>27.09.19-28.02.20</t>
  </si>
  <si>
    <t>25.09.19-30.06.20</t>
  </si>
  <si>
    <t>19.10.19-06.06.20</t>
  </si>
  <si>
    <t xml:space="preserve">Gestione archivi cartacei   </t>
  </si>
  <si>
    <t>incremento del lavoro da decentramento e da complessità crescente delle attività di PA: fascia 1 (3/4 responsabilità) a 36 ore=532 euro; fascia 2 (2 responsabilità) a 36 ore=355;  fascia 3 (1 responsabilità) a 36 ore=177 -  part time in proporzione</t>
  </si>
  <si>
    <r>
      <t>Coordinamento e assistenza/tutoraggio nuovi colleghi sede Comandini  nelle attività extra laboratorio</t>
    </r>
    <r>
      <rPr>
        <sz val="10"/>
        <color indexed="10"/>
        <rFont val="Times New Roman"/>
        <family val="1"/>
      </rPr>
      <t xml:space="preserve"> </t>
    </r>
  </si>
  <si>
    <t>Coordinamento rete (compreso rilascio account pc) e coordinamento squadra manutenzione sede Pascal</t>
  </si>
  <si>
    <r>
      <t xml:space="preserve">Svolgimento di  attività di riparazione e manutenzione locali e  attrezzature </t>
    </r>
    <r>
      <rPr>
        <sz val="10"/>
        <color indexed="10"/>
        <rFont val="Times New Roman"/>
        <family val="1"/>
      </rPr>
      <t xml:space="preserve"> </t>
    </r>
  </si>
  <si>
    <t>Gruppo gestione rete,  supporto agli scrutini e tutti i dispositivi di tutte le aule, laboratori non assegnati, uffici, biblioteca, sale riunioni, ecc. Pascal</t>
  </si>
  <si>
    <t>Gestione rete,  supporto agli scrutini e tutti i dispositivi di tutte le aule, laboratori non assegnati, uffici, biblioteca, sale riunioni, ecc.  Comandini</t>
  </si>
  <si>
    <t>Ritiro quotidiani per il progetto "quotidiano in classe"</t>
  </si>
  <si>
    <t>Gestione raccolta plastica</t>
  </si>
  <si>
    <t>A.T. ar1</t>
  </si>
  <si>
    <t>gg.fino 30.06</t>
  </si>
  <si>
    <t>gg.fino 22.02</t>
  </si>
  <si>
    <t>voce 7</t>
  </si>
  <si>
    <t>sett.-dic.</t>
  </si>
  <si>
    <t>genn. Giugno</t>
  </si>
  <si>
    <t>QUALIFICA</t>
  </si>
  <si>
    <t>CS</t>
  </si>
  <si>
    <t>PASCAL</t>
  </si>
  <si>
    <t xml:space="preserve">APRILE </t>
  </si>
  <si>
    <t>GIANLUCA</t>
  </si>
  <si>
    <t>AT</t>
  </si>
  <si>
    <t>BOSCHI</t>
  </si>
  <si>
    <t>SABRINA</t>
  </si>
  <si>
    <t>COMANDINI</t>
  </si>
  <si>
    <t>CIRILLO</t>
  </si>
  <si>
    <t>AA</t>
  </si>
  <si>
    <t>DEL SORBO</t>
  </si>
  <si>
    <t xml:space="preserve">DI VICO </t>
  </si>
  <si>
    <t xml:space="preserve">LEONETTI </t>
  </si>
  <si>
    <t xml:space="preserve">MANCINI </t>
  </si>
  <si>
    <t>PELLINO</t>
  </si>
  <si>
    <t>PIRRINI</t>
  </si>
  <si>
    <t>RAVAIOLI</t>
  </si>
  <si>
    <t>BARBARA</t>
  </si>
  <si>
    <t>SERRA</t>
  </si>
  <si>
    <t>GRAZIELLA</t>
  </si>
  <si>
    <t>DSGA</t>
  </si>
  <si>
    <t>VENTURI</t>
  </si>
  <si>
    <t>EMANUELE</t>
  </si>
  <si>
    <r>
      <rPr>
        <sz val="12"/>
        <rFont val="Century Gothic"/>
        <family val="2"/>
      </rPr>
      <t>CESENA</t>
    </r>
    <r>
      <rPr>
        <sz val="12"/>
        <color indexed="10"/>
        <rFont val="Century Gothic"/>
        <family val="2"/>
      </rPr>
      <t xml:space="preserve">   </t>
    </r>
  </si>
  <si>
    <t>Data della stampa:</t>
  </si>
  <si>
    <t>rid. voce 1 per assenze</t>
  </si>
  <si>
    <t>gg.serv.fino 22.02</t>
  </si>
  <si>
    <t>voce 3 pascal</t>
  </si>
  <si>
    <t xml:space="preserve">Guerra </t>
  </si>
  <si>
    <t>mancini</t>
  </si>
  <si>
    <t>padula</t>
  </si>
  <si>
    <t>paudice</t>
  </si>
  <si>
    <t>voce 3 comandini</t>
  </si>
  <si>
    <t>petti</t>
  </si>
  <si>
    <t>brigliadori</t>
  </si>
  <si>
    <t xml:space="preserve">cillo </t>
  </si>
  <si>
    <t>cirillo</t>
  </si>
  <si>
    <t>turco</t>
  </si>
  <si>
    <t>fino al 30 giugno 20</t>
  </si>
  <si>
    <t>fino al 22.02.20 sup. 15 gg. c.s.</t>
  </si>
  <si>
    <t>voce 4 pascal</t>
  </si>
  <si>
    <t>voce 4 comandini</t>
  </si>
  <si>
    <t>faberi</t>
  </si>
  <si>
    <t>bertollini</t>
  </si>
  <si>
    <t>lipani</t>
  </si>
  <si>
    <t>del sorbo</t>
  </si>
  <si>
    <t>voce 5 pascal</t>
  </si>
  <si>
    <t>borriello</t>
  </si>
  <si>
    <t>caporali</t>
  </si>
  <si>
    <t>voce 6 pascal</t>
  </si>
  <si>
    <t>donini</t>
  </si>
  <si>
    <t>voce 7 pascal</t>
  </si>
  <si>
    <t>mariotti</t>
  </si>
  <si>
    <t xml:space="preserve"> FONDO DI ISTITUTO E INCARICHI SPECIFICI PERSONALE A.T.A. A.S. 2019/20 - DA LIQUIDARE TRAMITE CEDOLINO UNICO</t>
  </si>
  <si>
    <t>pirrini</t>
  </si>
  <si>
    <t>randazzo</t>
  </si>
  <si>
    <t>(*)</t>
  </si>
  <si>
    <t>voce 3: fascia 1 + 90% di fascia 3</t>
  </si>
  <si>
    <t xml:space="preserve">Cesena,  08.07.20 </t>
  </si>
  <si>
    <t>omissis</t>
  </si>
  <si>
    <t>omissis (*)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</si>
</sst>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color rgb="FFFF0000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color rgb="FF000000"/>
      <name val="Times New Roman"/>
      <family val="1"/>
    </font>
    <font>
      <sz val="9"/>
      <color rgb="FFFF000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indexed="10"/>
      <name val="Times New Roman"/>
      <family val="1"/>
    </font>
    <font>
      <sz val="12"/>
      <name val="Century Gothic"/>
      <family val="2"/>
    </font>
    <font>
      <b/>
      <sz val="12"/>
      <name val="Century Gothic"/>
      <family val="2"/>
    </font>
    <font>
      <sz val="12"/>
      <color theme="1"/>
      <name val="Century Gothic"/>
      <family val="2"/>
    </font>
    <font>
      <sz val="12"/>
      <color theme="5"/>
      <name val="Century Gothic"/>
      <family val="2"/>
    </font>
    <font>
      <sz val="12"/>
      <color indexed="10"/>
      <name val="Century Gothic"/>
      <family val="2"/>
    </font>
    <font>
      <i/>
      <sz val="12"/>
      <name val="Century Gothic"/>
      <family val="2"/>
    </font>
    <font>
      <b/>
      <sz val="10"/>
      <color indexed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4" fillId="0" borderId="0" xfId="0" applyFont="1" applyFill="1" applyBorder="1" applyAlignment="1"/>
    <xf numFmtId="0" fontId="3" fillId="0" borderId="0" xfId="0" applyFont="1" applyFill="1" applyBorder="1"/>
    <xf numFmtId="0" fontId="3" fillId="0" borderId="0" xfId="0" applyFont="1" applyFill="1"/>
    <xf numFmtId="4" fontId="3" fillId="0" borderId="0" xfId="0" applyNumberFormat="1" applyFont="1" applyFill="1"/>
    <xf numFmtId="4" fontId="2" fillId="0" borderId="4" xfId="0" applyNumberFormat="1" applyFont="1" applyFill="1" applyBorder="1"/>
    <xf numFmtId="1" fontId="3" fillId="0" borderId="0" xfId="0" applyNumberFormat="1" applyFont="1" applyFill="1" applyBorder="1"/>
    <xf numFmtId="4" fontId="3" fillId="0" borderId="10" xfId="0" applyNumberFormat="1" applyFont="1" applyFill="1" applyBorder="1"/>
    <xf numFmtId="4" fontId="3" fillId="0" borderId="7" xfId="0" applyNumberFormat="1" applyFont="1" applyFill="1" applyBorder="1"/>
    <xf numFmtId="4" fontId="3" fillId="0" borderId="11" xfId="0" applyNumberFormat="1" applyFont="1" applyFill="1" applyBorder="1"/>
    <xf numFmtId="4" fontId="2" fillId="0" borderId="2" xfId="0" applyNumberFormat="1" applyFont="1" applyFill="1" applyBorder="1"/>
    <xf numFmtId="4" fontId="2" fillId="0" borderId="5" xfId="0" applyNumberFormat="1" applyFont="1" applyFill="1" applyBorder="1"/>
    <xf numFmtId="4" fontId="3" fillId="0" borderId="15" xfId="0" applyNumberFormat="1" applyFont="1" applyFill="1" applyBorder="1"/>
    <xf numFmtId="4" fontId="2" fillId="0" borderId="16" xfId="0" applyNumberFormat="1" applyFont="1" applyFill="1" applyBorder="1"/>
    <xf numFmtId="4" fontId="3" fillId="0" borderId="17" xfId="0" applyNumberFormat="1" applyFont="1" applyFill="1" applyBorder="1"/>
    <xf numFmtId="4" fontId="3" fillId="0" borderId="18" xfId="0" applyNumberFormat="1" applyFont="1" applyFill="1" applyBorder="1"/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4" fontId="2" fillId="0" borderId="22" xfId="0" applyNumberFormat="1" applyFont="1" applyFill="1" applyBorder="1"/>
    <xf numFmtId="0" fontId="1" fillId="0" borderId="11" xfId="0" applyFont="1" applyFill="1" applyBorder="1"/>
    <xf numFmtId="0" fontId="1" fillId="0" borderId="33" xfId="0" applyFont="1" applyFill="1" applyBorder="1"/>
    <xf numFmtId="0" fontId="4" fillId="0" borderId="0" xfId="0" applyFont="1" applyFill="1" applyBorder="1" applyAlignment="1">
      <alignment vertical="center"/>
    </xf>
    <xf numFmtId="0" fontId="1" fillId="0" borderId="35" xfId="0" applyFont="1" applyFill="1" applyBorder="1"/>
    <xf numFmtId="0" fontId="6" fillId="0" borderId="0" xfId="0" applyFont="1"/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/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 horizontal="left"/>
    </xf>
    <xf numFmtId="0" fontId="8" fillId="0" borderId="11" xfId="0" applyFont="1" applyFill="1" applyBorder="1" applyAlignment="1">
      <alignment horizontal="left" wrapText="1"/>
    </xf>
    <xf numFmtId="0" fontId="8" fillId="0" borderId="11" xfId="0" applyFont="1" applyFill="1" applyBorder="1"/>
    <xf numFmtId="0" fontId="6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wrapText="1"/>
    </xf>
    <xf numFmtId="0" fontId="8" fillId="2" borderId="11" xfId="0" applyFont="1" applyFill="1" applyBorder="1" applyAlignment="1">
      <alignment horizontal="left" wrapText="1"/>
    </xf>
    <xf numFmtId="0" fontId="8" fillId="2" borderId="11" xfId="0" applyFont="1" applyFill="1" applyBorder="1"/>
    <xf numFmtId="0" fontId="8" fillId="0" borderId="11" xfId="0" applyFont="1" applyBorder="1" applyAlignment="1"/>
    <xf numFmtId="0" fontId="9" fillId="0" borderId="0" xfId="0" applyFont="1"/>
    <xf numFmtId="0" fontId="1" fillId="0" borderId="11" xfId="0" applyFont="1" applyFill="1" applyBorder="1" applyAlignment="1">
      <alignment horizontal="center"/>
    </xf>
    <xf numFmtId="0" fontId="10" fillId="0" borderId="11" xfId="0" applyFont="1" applyFill="1" applyBorder="1"/>
    <xf numFmtId="4" fontId="5" fillId="0" borderId="11" xfId="0" applyNumberFormat="1" applyFont="1" applyFill="1" applyBorder="1"/>
    <xf numFmtId="0" fontId="0" fillId="0" borderId="0" xfId="0" applyFill="1"/>
    <xf numFmtId="165" fontId="3" fillId="0" borderId="0" xfId="0" applyNumberFormat="1" applyFont="1" applyFill="1"/>
    <xf numFmtId="4" fontId="2" fillId="0" borderId="0" xfId="0" applyNumberFormat="1" applyFont="1" applyFill="1"/>
    <xf numFmtId="0" fontId="2" fillId="0" borderId="0" xfId="0" applyFont="1" applyFill="1"/>
    <xf numFmtId="4" fontId="2" fillId="0" borderId="0" xfId="0" applyNumberFormat="1" applyFont="1" applyFill="1" applyBorder="1"/>
    <xf numFmtId="0" fontId="6" fillId="0" borderId="11" xfId="0" applyFont="1" applyBorder="1"/>
    <xf numFmtId="0" fontId="6" fillId="0" borderId="11" xfId="0" applyFont="1" applyBorder="1" applyAlignment="1">
      <alignment wrapText="1"/>
    </xf>
    <xf numFmtId="0" fontId="8" fillId="0" borderId="21" xfId="0" applyFont="1" applyFill="1" applyBorder="1"/>
    <xf numFmtId="0" fontId="1" fillId="0" borderId="32" xfId="0" applyFont="1" applyFill="1" applyBorder="1"/>
    <xf numFmtId="4" fontId="3" fillId="0" borderId="23" xfId="0" applyNumberFormat="1" applyFont="1" applyFill="1" applyBorder="1"/>
    <xf numFmtId="4" fontId="0" fillId="0" borderId="0" xfId="0" applyNumberFormat="1" applyFill="1"/>
    <xf numFmtId="3" fontId="3" fillId="0" borderId="16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wrapText="1"/>
    </xf>
    <xf numFmtId="0" fontId="3" fillId="0" borderId="36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/>
    <xf numFmtId="4" fontId="2" fillId="0" borderId="13" xfId="0" applyNumberFormat="1" applyFont="1" applyFill="1" applyBorder="1"/>
    <xf numFmtId="4" fontId="2" fillId="0" borderId="14" xfId="0" applyNumberFormat="1" applyFont="1" applyFill="1" applyBorder="1"/>
    <xf numFmtId="164" fontId="2" fillId="0" borderId="6" xfId="0" applyNumberFormat="1" applyFont="1" applyFill="1" applyBorder="1"/>
    <xf numFmtId="164" fontId="3" fillId="0" borderId="0" xfId="0" applyNumberFormat="1" applyFont="1" applyFill="1"/>
    <xf numFmtId="0" fontId="0" fillId="0" borderId="0" xfId="0" applyFill="1" applyAlignment="1"/>
    <xf numFmtId="0" fontId="0" fillId="0" borderId="11" xfId="0" applyFill="1" applyBorder="1"/>
    <xf numFmtId="0" fontId="6" fillId="0" borderId="11" xfId="0" applyFont="1" applyBorder="1" applyAlignment="1">
      <alignment horizontal="center"/>
    </xf>
    <xf numFmtId="4" fontId="2" fillId="0" borderId="29" xfId="0" applyNumberFormat="1" applyFont="1" applyFill="1" applyBorder="1"/>
    <xf numFmtId="4" fontId="2" fillId="0" borderId="31" xfId="0" applyNumberFormat="1" applyFont="1" applyFill="1" applyBorder="1"/>
    <xf numFmtId="4" fontId="1" fillId="0" borderId="0" xfId="0" applyNumberFormat="1" applyFont="1" applyFill="1" applyBorder="1"/>
    <xf numFmtId="4" fontId="6" fillId="0" borderId="23" xfId="0" applyNumberFormat="1" applyFont="1" applyFill="1" applyBorder="1" applyAlignment="1">
      <alignment vertical="center"/>
    </xf>
    <xf numFmtId="4" fontId="3" fillId="0" borderId="0" xfId="0" applyNumberFormat="1" applyFont="1" applyFill="1" applyAlignment="1">
      <alignment horizontal="center"/>
    </xf>
    <xf numFmtId="4" fontId="11" fillId="0" borderId="23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8" fillId="3" borderId="11" xfId="0" applyFont="1" applyFill="1" applyBorder="1"/>
    <xf numFmtId="4" fontId="3" fillId="3" borderId="11" xfId="0" applyNumberFormat="1" applyFont="1" applyFill="1" applyBorder="1"/>
    <xf numFmtId="0" fontId="8" fillId="3" borderId="11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left" wrapText="1"/>
    </xf>
    <xf numFmtId="4" fontId="12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horizontal="center"/>
    </xf>
    <xf numFmtId="1" fontId="0" fillId="0" borderId="0" xfId="0" applyNumberFormat="1" applyFill="1"/>
    <xf numFmtId="1" fontId="3" fillId="0" borderId="0" xfId="0" applyNumberFormat="1" applyFont="1" applyFill="1"/>
    <xf numFmtId="0" fontId="8" fillId="0" borderId="38" xfId="0" applyFont="1" applyFill="1" applyBorder="1"/>
    <xf numFmtId="0" fontId="8" fillId="0" borderId="39" xfId="0" applyFont="1" applyFill="1" applyBorder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3" fillId="4" borderId="0" xfId="0" applyFont="1" applyFill="1"/>
    <xf numFmtId="3" fontId="1" fillId="0" borderId="0" xfId="0" applyNumberFormat="1" applyFont="1" applyFill="1" applyBorder="1"/>
    <xf numFmtId="3" fontId="1" fillId="0" borderId="11" xfId="0" applyNumberFormat="1" applyFont="1" applyFill="1" applyBorder="1"/>
    <xf numFmtId="0" fontId="3" fillId="0" borderId="0" xfId="0" applyFont="1" applyFill="1" applyAlignment="1">
      <alignment horizontal="center" wrapText="1"/>
    </xf>
    <xf numFmtId="0" fontId="3" fillId="4" borderId="0" xfId="0" applyFont="1" applyFill="1" applyAlignment="1">
      <alignment horizontal="center" wrapText="1"/>
    </xf>
    <xf numFmtId="0" fontId="0" fillId="4" borderId="11" xfId="0" applyFill="1" applyBorder="1"/>
    <xf numFmtId="3" fontId="11" fillId="4" borderId="11" xfId="0" applyNumberFormat="1" applyFont="1" applyFill="1" applyBorder="1"/>
    <xf numFmtId="3" fontId="1" fillId="4" borderId="11" xfId="0" applyNumberFormat="1" applyFont="1" applyFill="1" applyBorder="1"/>
    <xf numFmtId="3" fontId="1" fillId="4" borderId="0" xfId="0" applyNumberFormat="1" applyFont="1" applyFill="1" applyBorder="1"/>
    <xf numFmtId="4" fontId="1" fillId="4" borderId="0" xfId="0" applyNumberFormat="1" applyFont="1" applyFill="1" applyBorder="1"/>
    <xf numFmtId="4" fontId="0" fillId="4" borderId="11" xfId="0" applyNumberFormat="1" applyFill="1" applyBorder="1"/>
    <xf numFmtId="0" fontId="0" fillId="4" borderId="0" xfId="0" applyFill="1"/>
    <xf numFmtId="4" fontId="3" fillId="4" borderId="0" xfId="0" applyNumberFormat="1" applyFont="1" applyFill="1" applyAlignment="1">
      <alignment horizontal="center"/>
    </xf>
    <xf numFmtId="4" fontId="11" fillId="4" borderId="23" xfId="0" applyNumberFormat="1" applyFont="1" applyFill="1" applyBorder="1" applyAlignment="1">
      <alignment vertical="center"/>
    </xf>
    <xf numFmtId="4" fontId="1" fillId="4" borderId="11" xfId="0" applyNumberFormat="1" applyFont="1" applyFill="1" applyBorder="1"/>
    <xf numFmtId="4" fontId="3" fillId="4" borderId="11" xfId="0" applyNumberFormat="1" applyFont="1" applyFill="1" applyBorder="1"/>
    <xf numFmtId="0" fontId="3" fillId="4" borderId="0" xfId="0" applyFont="1" applyFill="1" applyAlignment="1">
      <alignment horizontal="center"/>
    </xf>
    <xf numFmtId="4" fontId="11" fillId="4" borderId="39" xfId="0" applyNumberFormat="1" applyFont="1" applyFill="1" applyBorder="1" applyAlignment="1">
      <alignment vertical="center"/>
    </xf>
    <xf numFmtId="3" fontId="0" fillId="0" borderId="0" xfId="0" applyNumberFormat="1" applyFill="1"/>
    <xf numFmtId="3" fontId="11" fillId="0" borderId="0" xfId="0" applyNumberFormat="1" applyFont="1" applyFill="1" applyBorder="1" applyAlignment="1">
      <alignment vertical="center"/>
    </xf>
    <xf numFmtId="0" fontId="14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1" xfId="0" applyNumberFormat="1" applyFont="1" applyBorder="1" applyAlignment="1">
      <alignment horizontal="center" vertical="center" wrapText="1"/>
    </xf>
    <xf numFmtId="0" fontId="14" fillId="0" borderId="0" xfId="0" applyFont="1"/>
    <xf numFmtId="0" fontId="14" fillId="0" borderId="11" xfId="0" applyFont="1" applyBorder="1" applyAlignment="1">
      <alignment horizontal="center"/>
    </xf>
    <xf numFmtId="0" fontId="14" fillId="0" borderId="11" xfId="0" applyFont="1" applyFill="1" applyBorder="1"/>
    <xf numFmtId="0" fontId="14" fillId="0" borderId="11" xfId="0" applyFont="1" applyBorder="1"/>
    <xf numFmtId="14" fontId="14" fillId="0" borderId="11" xfId="0" applyNumberFormat="1" applyFont="1" applyBorder="1" applyAlignment="1">
      <alignment horizontal="center"/>
    </xf>
    <xf numFmtId="0" fontId="14" fillId="0" borderId="11" xfId="0" applyNumberFormat="1" applyFont="1" applyFill="1" applyBorder="1" applyAlignment="1">
      <alignment horizontal="center"/>
    </xf>
    <xf numFmtId="0" fontId="14" fillId="0" borderId="11" xfId="0" applyFont="1" applyBorder="1" applyAlignment="1">
      <alignment horizontal="left"/>
    </xf>
    <xf numFmtId="0" fontId="14" fillId="5" borderId="11" xfId="0" applyFont="1" applyFill="1" applyBorder="1"/>
    <xf numFmtId="0" fontId="16" fillId="0" borderId="11" xfId="0" applyFont="1" applyBorder="1"/>
    <xf numFmtId="14" fontId="14" fillId="0" borderId="11" xfId="0" applyNumberFormat="1" applyFont="1" applyFill="1" applyBorder="1" applyAlignment="1">
      <alignment horizontal="center"/>
    </xf>
    <xf numFmtId="0" fontId="14" fillId="0" borderId="11" xfId="0" applyFont="1" applyFill="1" applyBorder="1" applyAlignment="1">
      <alignment horizontal="left" wrapText="1"/>
    </xf>
    <xf numFmtId="0" fontId="16" fillId="6" borderId="11" xfId="0" applyFont="1" applyFill="1" applyBorder="1"/>
    <xf numFmtId="0" fontId="14" fillId="0" borderId="11" xfId="0" applyFont="1" applyBorder="1" applyAlignment="1"/>
    <xf numFmtId="0" fontId="17" fillId="0" borderId="11" xfId="0" applyFont="1" applyBorder="1"/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14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9" fillId="0" borderId="0" xfId="0" applyFont="1"/>
    <xf numFmtId="14" fontId="19" fillId="0" borderId="0" xfId="0" applyNumberFormat="1" applyFont="1" applyAlignment="1">
      <alignment horizontal="left"/>
    </xf>
    <xf numFmtId="0" fontId="14" fillId="0" borderId="0" xfId="0" applyNumberFormat="1" applyFont="1"/>
    <xf numFmtId="0" fontId="3" fillId="0" borderId="11" xfId="0" applyFont="1" applyFill="1" applyBorder="1" applyAlignment="1">
      <alignment wrapText="1"/>
    </xf>
    <xf numFmtId="4" fontId="1" fillId="0" borderId="11" xfId="0" applyNumberFormat="1" applyFont="1" applyFill="1" applyBorder="1"/>
    <xf numFmtId="4" fontId="0" fillId="0" borderId="11" xfId="0" applyNumberFormat="1" applyFill="1" applyBorder="1"/>
    <xf numFmtId="4" fontId="2" fillId="0" borderId="0" xfId="0" applyNumberFormat="1" applyFont="1" applyFill="1" applyAlignment="1">
      <alignment horizontal="center"/>
    </xf>
    <xf numFmtId="3" fontId="12" fillId="0" borderId="0" xfId="0" applyNumberFormat="1" applyFont="1" applyFill="1" applyBorder="1" applyAlignment="1">
      <alignment vertical="center"/>
    </xf>
    <xf numFmtId="1" fontId="14" fillId="0" borderId="11" xfId="0" applyNumberFormat="1" applyFont="1" applyBorder="1" applyAlignment="1">
      <alignment horizontal="center"/>
    </xf>
    <xf numFmtId="4" fontId="2" fillId="0" borderId="0" xfId="0" applyNumberFormat="1" applyFont="1" applyFill="1" applyAlignment="1">
      <alignment horizontal="right"/>
    </xf>
    <xf numFmtId="4" fontId="3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right"/>
    </xf>
    <xf numFmtId="0" fontId="2" fillId="0" borderId="34" xfId="0" applyFont="1" applyFill="1" applyBorder="1" applyAlignment="1">
      <alignment horizontal="right"/>
    </xf>
    <xf numFmtId="0" fontId="2" fillId="0" borderId="31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right" wrapText="1"/>
    </xf>
    <xf numFmtId="0" fontId="2" fillId="0" borderId="28" xfId="0" applyFont="1" applyFill="1" applyBorder="1" applyAlignment="1">
      <alignment horizontal="right" wrapText="1"/>
    </xf>
    <xf numFmtId="0" fontId="2" fillId="0" borderId="29" xfId="0" applyFont="1" applyFill="1" applyBorder="1" applyAlignment="1">
      <alignment horizontal="right" wrapText="1"/>
    </xf>
    <xf numFmtId="0" fontId="2" fillId="0" borderId="3" xfId="0" applyFont="1" applyFill="1" applyBorder="1" applyAlignment="1">
      <alignment horizontal="right"/>
    </xf>
    <xf numFmtId="0" fontId="2" fillId="0" borderId="28" xfId="0" applyFont="1" applyFill="1" applyBorder="1" applyAlignment="1">
      <alignment horizontal="right"/>
    </xf>
    <xf numFmtId="0" fontId="2" fillId="0" borderId="29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164" fontId="2" fillId="0" borderId="0" xfId="0" applyNumberFormat="1" applyFont="1" applyFill="1" applyBorder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4" fontId="6" fillId="0" borderId="0" xfId="0" applyNumberFormat="1" applyFont="1" applyFill="1"/>
    <xf numFmtId="0" fontId="6" fillId="0" borderId="27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4" fontId="3" fillId="0" borderId="8" xfId="0" applyNumberFormat="1" applyFont="1" applyFill="1" applyBorder="1"/>
    <xf numFmtId="4" fontId="3" fillId="0" borderId="9" xfId="0" applyNumberFormat="1" applyFont="1" applyFill="1" applyBorder="1"/>
    <xf numFmtId="4" fontId="3" fillId="0" borderId="37" xfId="0" applyNumberFormat="1" applyFont="1" applyFill="1" applyBorder="1"/>
    <xf numFmtId="0" fontId="3" fillId="0" borderId="23" xfId="0" applyFont="1" applyFill="1" applyBorder="1"/>
    <xf numFmtId="0" fontId="8" fillId="0" borderId="40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8" fillId="0" borderId="42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right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3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35" sqref="E35"/>
    </sheetView>
  </sheetViews>
  <sheetFormatPr defaultRowHeight="12.75"/>
  <cols>
    <col min="1" max="1" width="3.140625" style="3" customWidth="1"/>
    <col min="2" max="2" width="13.7109375" style="3" customWidth="1"/>
    <col min="3" max="3" width="17.28515625" style="3" customWidth="1"/>
    <col min="4" max="4" width="8.85546875" style="3" customWidth="1"/>
    <col min="5" max="11" width="8" style="3" customWidth="1"/>
    <col min="12" max="12" width="9.5703125" style="3" customWidth="1"/>
    <col min="13" max="14" width="9.140625" style="3"/>
    <col min="15" max="15" width="9.140625" style="3" hidden="1" customWidth="1"/>
    <col min="16" max="16" width="10.140625" style="3" hidden="1" customWidth="1"/>
    <col min="17" max="32" width="9.140625" style="3" hidden="1" customWidth="1"/>
    <col min="33" max="38" width="9.140625" style="3" customWidth="1"/>
    <col min="39" max="16384" width="9.140625" style="3"/>
  </cols>
  <sheetData>
    <row r="1" spans="1:35" ht="13.5" thickBot="1">
      <c r="A1" s="156" t="s">
        <v>12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spans="1:35" ht="14.25" thickTop="1" thickBot="1">
      <c r="A2" s="157" t="s">
        <v>267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9"/>
    </row>
    <row r="3" spans="1:35" ht="26.25" thickBot="1">
      <c r="A3" s="142" t="s">
        <v>3</v>
      </c>
      <c r="B3" s="143"/>
      <c r="C3" s="144"/>
      <c r="D3" s="16">
        <v>1</v>
      </c>
      <c r="E3" s="17">
        <v>2</v>
      </c>
      <c r="F3" s="17">
        <v>3</v>
      </c>
      <c r="G3" s="17">
        <v>4</v>
      </c>
      <c r="H3" s="17">
        <v>5</v>
      </c>
      <c r="I3" s="17">
        <v>6</v>
      </c>
      <c r="J3" s="17">
        <v>7</v>
      </c>
      <c r="K3" s="17">
        <v>8</v>
      </c>
      <c r="L3" s="54" t="s">
        <v>9</v>
      </c>
      <c r="M3" s="55" t="s">
        <v>10</v>
      </c>
      <c r="N3" s="56" t="s">
        <v>11</v>
      </c>
    </row>
    <row r="4" spans="1:35">
      <c r="A4" s="51">
        <v>1</v>
      </c>
      <c r="B4" s="164" t="s">
        <v>273</v>
      </c>
      <c r="C4" s="165"/>
      <c r="D4" s="8">
        <v>137.06</v>
      </c>
      <c r="E4" s="9">
        <v>150</v>
      </c>
      <c r="F4" s="9">
        <v>355</v>
      </c>
      <c r="G4" s="9"/>
      <c r="H4" s="9"/>
      <c r="I4" s="9"/>
      <c r="J4" s="9"/>
      <c r="K4" s="9"/>
      <c r="L4" s="12">
        <f t="shared" ref="L4:L12" si="0">SUM(D4:K4)</f>
        <v>642.05999999999995</v>
      </c>
      <c r="M4" s="7">
        <f t="shared" ref="M4:M14" si="1">L4-N4</f>
        <v>293.76999999999992</v>
      </c>
      <c r="N4" s="52">
        <v>348.29</v>
      </c>
      <c r="P4" s="4"/>
      <c r="AH4" s="4"/>
    </row>
    <row r="5" spans="1:35">
      <c r="A5" s="20">
        <f t="shared" ref="A5:A14" si="2">A4+1</f>
        <v>2</v>
      </c>
      <c r="B5" s="166" t="s">
        <v>273</v>
      </c>
      <c r="C5" s="167"/>
      <c r="D5" s="8">
        <v>137.06</v>
      </c>
      <c r="E5" s="9">
        <v>150</v>
      </c>
      <c r="F5" s="9">
        <v>355</v>
      </c>
      <c r="G5" s="9">
        <v>-22.54</v>
      </c>
      <c r="H5" s="9"/>
      <c r="I5" s="9"/>
      <c r="J5" s="9"/>
      <c r="K5" s="9"/>
      <c r="L5" s="14">
        <f t="shared" si="0"/>
        <v>619.52</v>
      </c>
      <c r="M5" s="7">
        <f t="shared" si="1"/>
        <v>619.52</v>
      </c>
      <c r="N5" s="52"/>
      <c r="P5" s="4"/>
      <c r="AH5" s="4"/>
    </row>
    <row r="6" spans="1:35">
      <c r="A6" s="20">
        <f t="shared" si="2"/>
        <v>3</v>
      </c>
      <c r="B6" s="166" t="s">
        <v>273</v>
      </c>
      <c r="C6" s="167"/>
      <c r="D6" s="8">
        <v>114.22</v>
      </c>
      <c r="E6" s="9"/>
      <c r="F6" s="9"/>
      <c r="G6" s="9">
        <v>-33.82</v>
      </c>
      <c r="H6" s="9"/>
      <c r="I6" s="9"/>
      <c r="J6" s="9"/>
      <c r="K6" s="9"/>
      <c r="L6" s="14">
        <f t="shared" si="0"/>
        <v>80.400000000000006</v>
      </c>
      <c r="M6" s="7">
        <f t="shared" si="1"/>
        <v>80.400000000000006</v>
      </c>
      <c r="N6" s="52"/>
      <c r="P6" s="4"/>
      <c r="AH6" s="4"/>
    </row>
    <row r="7" spans="1:35">
      <c r="A7" s="20">
        <f t="shared" si="2"/>
        <v>4</v>
      </c>
      <c r="B7" s="166" t="s">
        <v>273</v>
      </c>
      <c r="C7" s="167"/>
      <c r="D7" s="8">
        <v>137.06</v>
      </c>
      <c r="E7" s="9"/>
      <c r="F7" s="9">
        <v>532</v>
      </c>
      <c r="G7" s="9"/>
      <c r="H7" s="9"/>
      <c r="I7" s="9"/>
      <c r="J7" s="9"/>
      <c r="K7" s="9"/>
      <c r="L7" s="14">
        <f t="shared" si="0"/>
        <v>669.06</v>
      </c>
      <c r="M7" s="7">
        <f t="shared" si="1"/>
        <v>669.06</v>
      </c>
      <c r="N7" s="52"/>
      <c r="P7" s="4"/>
      <c r="AH7" s="4"/>
    </row>
    <row r="8" spans="1:35">
      <c r="A8" s="20">
        <f t="shared" si="2"/>
        <v>5</v>
      </c>
      <c r="B8" s="166" t="s">
        <v>274</v>
      </c>
      <c r="C8" s="167"/>
      <c r="D8" s="8">
        <v>137.06</v>
      </c>
      <c r="E8" s="9">
        <v>150</v>
      </c>
      <c r="F8" s="9">
        <f>532+147.5*90%</f>
        <v>664.75</v>
      </c>
      <c r="G8" s="9"/>
      <c r="H8" s="9"/>
      <c r="I8" s="9"/>
      <c r="J8" s="9"/>
      <c r="K8" s="9"/>
      <c r="L8" s="12">
        <f t="shared" si="0"/>
        <v>951.81</v>
      </c>
      <c r="M8" s="7">
        <f t="shared" si="1"/>
        <v>603.51</v>
      </c>
      <c r="N8" s="52">
        <v>348.3</v>
      </c>
      <c r="P8" s="4"/>
      <c r="AH8" s="4"/>
    </row>
    <row r="9" spans="1:35">
      <c r="A9" s="20">
        <f t="shared" si="2"/>
        <v>6</v>
      </c>
      <c r="B9" s="166" t="s">
        <v>273</v>
      </c>
      <c r="C9" s="167"/>
      <c r="D9" s="8">
        <v>137.06</v>
      </c>
      <c r="E9" s="9">
        <v>150</v>
      </c>
      <c r="F9" s="9">
        <v>532</v>
      </c>
      <c r="G9" s="9"/>
      <c r="H9" s="9"/>
      <c r="I9" s="9"/>
      <c r="J9" s="9"/>
      <c r="K9" s="9"/>
      <c r="L9" s="12">
        <f t="shared" si="0"/>
        <v>819.06</v>
      </c>
      <c r="M9" s="7">
        <f>L9-N9</f>
        <v>470.76999999999992</v>
      </c>
      <c r="N9" s="52">
        <v>348.29</v>
      </c>
      <c r="P9" s="4"/>
      <c r="AH9" s="4"/>
    </row>
    <row r="10" spans="1:35">
      <c r="A10" s="20">
        <f t="shared" si="2"/>
        <v>7</v>
      </c>
      <c r="B10" s="166" t="s">
        <v>273</v>
      </c>
      <c r="C10" s="167"/>
      <c r="D10" s="8">
        <v>123.54</v>
      </c>
      <c r="E10" s="9"/>
      <c r="F10" s="9"/>
      <c r="G10" s="9"/>
      <c r="H10" s="9"/>
      <c r="I10" s="9"/>
      <c r="J10" s="9"/>
      <c r="K10" s="9"/>
      <c r="L10" s="12">
        <f t="shared" si="0"/>
        <v>123.54</v>
      </c>
      <c r="M10" s="7">
        <f t="shared" si="1"/>
        <v>123.54</v>
      </c>
      <c r="N10" s="52"/>
      <c r="P10" s="4"/>
      <c r="AH10" s="4"/>
    </row>
    <row r="11" spans="1:35">
      <c r="A11" s="20">
        <f t="shared" si="2"/>
        <v>8</v>
      </c>
      <c r="B11" s="166" t="s">
        <v>273</v>
      </c>
      <c r="C11" s="167"/>
      <c r="D11" s="8">
        <v>102.8</v>
      </c>
      <c r="E11" s="9"/>
      <c r="F11" s="9">
        <v>266</v>
      </c>
      <c r="G11" s="9">
        <v>-13.08</v>
      </c>
      <c r="H11" s="9"/>
      <c r="I11" s="9"/>
      <c r="J11" s="9"/>
      <c r="K11" s="9"/>
      <c r="L11" s="14">
        <f t="shared" si="0"/>
        <v>355.72</v>
      </c>
      <c r="M11" s="7">
        <f t="shared" si="1"/>
        <v>355.72</v>
      </c>
      <c r="N11" s="52"/>
      <c r="P11" s="4"/>
      <c r="AH11" s="4"/>
    </row>
    <row r="12" spans="1:35">
      <c r="A12" s="20">
        <f t="shared" si="2"/>
        <v>9</v>
      </c>
      <c r="B12" s="166" t="s">
        <v>273</v>
      </c>
      <c r="C12" s="167"/>
      <c r="D12" s="8">
        <v>68.53</v>
      </c>
      <c r="E12" s="9"/>
      <c r="F12" s="9">
        <v>266</v>
      </c>
      <c r="G12" s="9"/>
      <c r="H12" s="9"/>
      <c r="I12" s="9"/>
      <c r="J12" s="9"/>
      <c r="K12" s="9"/>
      <c r="L12" s="14">
        <f t="shared" si="0"/>
        <v>334.53</v>
      </c>
      <c r="M12" s="7">
        <f t="shared" si="1"/>
        <v>334.53</v>
      </c>
      <c r="N12" s="52"/>
      <c r="P12" s="4"/>
      <c r="AH12" s="4"/>
    </row>
    <row r="13" spans="1:35">
      <c r="A13" s="20">
        <f t="shared" si="2"/>
        <v>10</v>
      </c>
      <c r="B13" s="166" t="s">
        <v>273</v>
      </c>
      <c r="C13" s="167"/>
      <c r="D13" s="8">
        <v>137.06</v>
      </c>
      <c r="E13" s="9"/>
      <c r="F13" s="9">
        <v>177</v>
      </c>
      <c r="G13" s="9">
        <v>-41.93</v>
      </c>
      <c r="H13" s="9"/>
      <c r="I13" s="9"/>
      <c r="J13" s="9"/>
      <c r="K13" s="9"/>
      <c r="L13" s="14">
        <f>SUM(D13:K13)</f>
        <v>272.13</v>
      </c>
      <c r="M13" s="7">
        <f t="shared" si="1"/>
        <v>272.13</v>
      </c>
      <c r="N13" s="52"/>
      <c r="P13" s="4"/>
      <c r="AH13" s="4"/>
    </row>
    <row r="14" spans="1:35" ht="13.5" thickBot="1">
      <c r="A14" s="22">
        <f t="shared" si="2"/>
        <v>11</v>
      </c>
      <c r="B14" s="166" t="s">
        <v>273</v>
      </c>
      <c r="C14" s="167"/>
      <c r="D14" s="8">
        <v>68.53</v>
      </c>
      <c r="E14" s="8"/>
      <c r="F14" s="9">
        <v>177.5</v>
      </c>
      <c r="G14" s="9"/>
      <c r="H14" s="9"/>
      <c r="I14" s="9"/>
      <c r="J14" s="9"/>
      <c r="K14" s="9"/>
      <c r="L14" s="9">
        <f>SUM(D14:K14)</f>
        <v>246.03</v>
      </c>
      <c r="M14" s="12">
        <f t="shared" si="1"/>
        <v>0</v>
      </c>
      <c r="N14" s="52">
        <f>L14</f>
        <v>246.03</v>
      </c>
      <c r="P14" s="4"/>
      <c r="AH14" s="4"/>
    </row>
    <row r="15" spans="1:35" ht="13.5" thickBot="1">
      <c r="A15" s="145" t="s">
        <v>7</v>
      </c>
      <c r="B15" s="146"/>
      <c r="C15" s="147"/>
      <c r="D15" s="57">
        <f t="shared" ref="D15:N15" si="3">SUM(D4:D14)</f>
        <v>1299.9799999999998</v>
      </c>
      <c r="E15" s="10">
        <f t="shared" si="3"/>
        <v>600</v>
      </c>
      <c r="F15" s="10">
        <f t="shared" si="3"/>
        <v>3325.25</v>
      </c>
      <c r="G15" s="10">
        <f t="shared" si="3"/>
        <v>-111.37</v>
      </c>
      <c r="H15" s="10">
        <f t="shared" si="3"/>
        <v>0</v>
      </c>
      <c r="I15" s="10">
        <f t="shared" si="3"/>
        <v>0</v>
      </c>
      <c r="J15" s="10">
        <f t="shared" si="3"/>
        <v>0</v>
      </c>
      <c r="K15" s="10">
        <f t="shared" si="3"/>
        <v>0</v>
      </c>
      <c r="L15" s="13">
        <f t="shared" si="3"/>
        <v>5113.8599999999997</v>
      </c>
      <c r="M15" s="13">
        <f t="shared" si="3"/>
        <v>3822.95</v>
      </c>
      <c r="N15" s="5">
        <f t="shared" si="3"/>
        <v>1290.9100000000001</v>
      </c>
      <c r="O15" s="45">
        <f>M15+N15</f>
        <v>5113.8599999999997</v>
      </c>
      <c r="P15" s="4">
        <v>5909.73</v>
      </c>
      <c r="Q15" s="4">
        <f>L15-P15</f>
        <v>-795.86999999999989</v>
      </c>
      <c r="R15" s="3" t="s">
        <v>106</v>
      </c>
      <c r="S15" s="3">
        <v>1393.69</v>
      </c>
      <c r="T15" s="3" t="s">
        <v>107</v>
      </c>
      <c r="AH15" s="4"/>
      <c r="AI15" s="4"/>
    </row>
    <row r="16" spans="1:35">
      <c r="A16" s="51">
        <v>1</v>
      </c>
      <c r="B16" s="164" t="s">
        <v>273</v>
      </c>
      <c r="C16" s="165"/>
      <c r="D16" s="160">
        <v>71.8</v>
      </c>
      <c r="E16" s="161"/>
      <c r="F16" s="161">
        <v>300</v>
      </c>
      <c r="G16" s="161">
        <v>251.8</v>
      </c>
      <c r="H16" s="161">
        <v>150</v>
      </c>
      <c r="I16" s="161"/>
      <c r="J16" s="161"/>
      <c r="K16" s="161"/>
      <c r="L16" s="14">
        <f>SUM(D16:K16)</f>
        <v>773.6</v>
      </c>
      <c r="M16" s="7">
        <f>L16-N16</f>
        <v>773.6</v>
      </c>
      <c r="N16" s="52"/>
      <c r="P16" s="4"/>
      <c r="AH16" s="4"/>
    </row>
    <row r="17" spans="1:34">
      <c r="A17" s="20">
        <f>A16+1</f>
        <v>2</v>
      </c>
      <c r="B17" s="166" t="s">
        <v>273</v>
      </c>
      <c r="C17" s="167"/>
      <c r="D17" s="8">
        <v>71.8</v>
      </c>
      <c r="E17" s="9"/>
      <c r="F17" s="9"/>
      <c r="G17" s="9"/>
      <c r="H17" s="9">
        <v>150</v>
      </c>
      <c r="I17" s="9"/>
      <c r="J17" s="9"/>
      <c r="K17" s="9"/>
      <c r="L17" s="14">
        <f t="shared" ref="L17:L26" si="4">SUM(D17:K17)</f>
        <v>221.8</v>
      </c>
      <c r="M17" s="7">
        <f t="shared" ref="M17:M26" si="5">L17-N17</f>
        <v>221.8</v>
      </c>
      <c r="N17" s="52"/>
      <c r="P17" s="4"/>
      <c r="AH17" s="4"/>
    </row>
    <row r="18" spans="1:34">
      <c r="A18" s="20">
        <f t="shared" ref="A18:A26" si="6">A17+1</f>
        <v>3</v>
      </c>
      <c r="B18" s="166" t="s">
        <v>273</v>
      </c>
      <c r="C18" s="167"/>
      <c r="D18" s="8">
        <v>62.78</v>
      </c>
      <c r="E18" s="9"/>
      <c r="F18" s="9"/>
      <c r="G18" s="9"/>
      <c r="H18" s="9"/>
      <c r="I18" s="9"/>
      <c r="J18" s="9"/>
      <c r="K18" s="9"/>
      <c r="L18" s="14">
        <f t="shared" si="4"/>
        <v>62.78</v>
      </c>
      <c r="M18" s="7">
        <f>L18-N18</f>
        <v>62.78</v>
      </c>
      <c r="N18" s="52"/>
      <c r="P18" s="4"/>
      <c r="AH18" s="4"/>
    </row>
    <row r="19" spans="1:34">
      <c r="A19" s="20">
        <f t="shared" si="6"/>
        <v>4</v>
      </c>
      <c r="B19" s="166" t="s">
        <v>273</v>
      </c>
      <c r="C19" s="167"/>
      <c r="D19" s="8">
        <v>62.78</v>
      </c>
      <c r="E19" s="9"/>
      <c r="F19" s="9"/>
      <c r="G19" s="9">
        <v>233.58</v>
      </c>
      <c r="H19" s="9"/>
      <c r="I19" s="9"/>
      <c r="J19" s="9"/>
      <c r="K19" s="9"/>
      <c r="L19" s="14">
        <f t="shared" si="4"/>
        <v>296.36</v>
      </c>
      <c r="M19" s="7">
        <f>L19-N19</f>
        <v>296.36</v>
      </c>
      <c r="N19" s="52"/>
      <c r="P19" s="4"/>
      <c r="AH19" s="4"/>
    </row>
    <row r="20" spans="1:34">
      <c r="A20" s="20">
        <f t="shared" si="6"/>
        <v>5</v>
      </c>
      <c r="B20" s="166" t="s">
        <v>273</v>
      </c>
      <c r="C20" s="167"/>
      <c r="D20" s="8">
        <v>71.8</v>
      </c>
      <c r="E20" s="9"/>
      <c r="F20" s="9">
        <v>300</v>
      </c>
      <c r="G20" s="9">
        <v>251.8</v>
      </c>
      <c r="H20" s="9">
        <v>150</v>
      </c>
      <c r="I20" s="9"/>
      <c r="J20" s="9"/>
      <c r="K20" s="9"/>
      <c r="L20" s="14">
        <f t="shared" si="4"/>
        <v>773.6</v>
      </c>
      <c r="M20" s="7">
        <f t="shared" si="5"/>
        <v>773.6</v>
      </c>
      <c r="N20" s="52"/>
      <c r="P20" s="4"/>
      <c r="AH20" s="4"/>
    </row>
    <row r="21" spans="1:34">
      <c r="A21" s="20">
        <f t="shared" si="6"/>
        <v>6</v>
      </c>
      <c r="B21" s="166" t="s">
        <v>273</v>
      </c>
      <c r="C21" s="167"/>
      <c r="D21" s="8">
        <v>71.8</v>
      </c>
      <c r="E21" s="9"/>
      <c r="F21" s="9"/>
      <c r="G21" s="9">
        <v>251.8</v>
      </c>
      <c r="H21" s="9"/>
      <c r="I21" s="9"/>
      <c r="J21" s="9"/>
      <c r="K21" s="9"/>
      <c r="L21" s="14">
        <f t="shared" si="4"/>
        <v>323.60000000000002</v>
      </c>
      <c r="M21" s="7">
        <f t="shared" si="5"/>
        <v>0</v>
      </c>
      <c r="N21" s="52">
        <f t="shared" ref="N21:N22" si="7">L21</f>
        <v>323.60000000000002</v>
      </c>
      <c r="P21" s="4"/>
      <c r="AH21" s="4"/>
    </row>
    <row r="22" spans="1:34">
      <c r="A22" s="20">
        <f t="shared" si="6"/>
        <v>7</v>
      </c>
      <c r="B22" s="166" t="s">
        <v>273</v>
      </c>
      <c r="C22" s="167"/>
      <c r="D22" s="8">
        <v>71.8</v>
      </c>
      <c r="E22" s="9"/>
      <c r="F22" s="9"/>
      <c r="G22" s="9">
        <v>251.8</v>
      </c>
      <c r="H22" s="9"/>
      <c r="I22" s="9"/>
      <c r="J22" s="9"/>
      <c r="K22" s="9"/>
      <c r="L22" s="14">
        <f t="shared" si="4"/>
        <v>323.60000000000002</v>
      </c>
      <c r="M22" s="7">
        <f t="shared" si="5"/>
        <v>0</v>
      </c>
      <c r="N22" s="52">
        <f t="shared" si="7"/>
        <v>323.60000000000002</v>
      </c>
      <c r="P22" s="4"/>
      <c r="AH22" s="4"/>
    </row>
    <row r="23" spans="1:34">
      <c r="A23" s="20">
        <f t="shared" si="6"/>
        <v>8</v>
      </c>
      <c r="B23" s="166" t="s">
        <v>273</v>
      </c>
      <c r="C23" s="167"/>
      <c r="D23" s="8">
        <v>48.42</v>
      </c>
      <c r="E23" s="9"/>
      <c r="F23" s="9"/>
      <c r="G23" s="9">
        <v>97.74</v>
      </c>
      <c r="H23" s="9"/>
      <c r="I23" s="9"/>
      <c r="J23" s="9"/>
      <c r="K23" s="9"/>
      <c r="L23" s="14">
        <f t="shared" si="4"/>
        <v>146.16</v>
      </c>
      <c r="M23" s="7">
        <f t="shared" si="5"/>
        <v>146.16</v>
      </c>
      <c r="N23" s="52"/>
      <c r="P23" s="4"/>
      <c r="AH23" s="4"/>
    </row>
    <row r="24" spans="1:34">
      <c r="A24" s="20">
        <f t="shared" si="6"/>
        <v>9</v>
      </c>
      <c r="B24" s="166" t="s">
        <v>273</v>
      </c>
      <c r="C24" s="167"/>
      <c r="D24" s="8">
        <v>71.8</v>
      </c>
      <c r="E24" s="9"/>
      <c r="F24" s="9"/>
      <c r="G24" s="9"/>
      <c r="H24" s="9"/>
      <c r="I24" s="9"/>
      <c r="J24" s="9">
        <v>-58.67</v>
      </c>
      <c r="K24" s="9"/>
      <c r="L24" s="14">
        <f t="shared" si="4"/>
        <v>13.129999999999995</v>
      </c>
      <c r="M24" s="7">
        <f t="shared" si="5"/>
        <v>13.129999999999995</v>
      </c>
      <c r="N24" s="52"/>
      <c r="P24" s="4"/>
      <c r="AH24" s="4"/>
    </row>
    <row r="25" spans="1:34">
      <c r="A25" s="20">
        <f t="shared" si="6"/>
        <v>10</v>
      </c>
      <c r="B25" s="166" t="s">
        <v>273</v>
      </c>
      <c r="C25" s="167"/>
      <c r="D25" s="8">
        <v>71.8</v>
      </c>
      <c r="E25" s="9">
        <v>600</v>
      </c>
      <c r="F25" s="9"/>
      <c r="G25" s="9">
        <v>251.8</v>
      </c>
      <c r="H25" s="9"/>
      <c r="I25" s="9">
        <v>300</v>
      </c>
      <c r="J25" s="9"/>
      <c r="K25" s="9"/>
      <c r="L25" s="14">
        <f t="shared" si="4"/>
        <v>1223.5999999999999</v>
      </c>
      <c r="M25" s="7">
        <f t="shared" si="5"/>
        <v>579.88999999999987</v>
      </c>
      <c r="N25" s="52">
        <f>1290.91-N21-N22</f>
        <v>643.71</v>
      </c>
      <c r="P25" s="4"/>
      <c r="AH25" s="4"/>
    </row>
    <row r="26" spans="1:34" ht="13.5" thickBot="1">
      <c r="A26" s="22">
        <f t="shared" si="6"/>
        <v>11</v>
      </c>
      <c r="B26" s="166" t="s">
        <v>273</v>
      </c>
      <c r="C26" s="167"/>
      <c r="D26" s="162">
        <v>71.8</v>
      </c>
      <c r="E26" s="9"/>
      <c r="F26" s="9"/>
      <c r="G26" s="9">
        <v>251.8</v>
      </c>
      <c r="H26" s="9">
        <v>150</v>
      </c>
      <c r="I26" s="9"/>
      <c r="J26" s="9"/>
      <c r="K26" s="9"/>
      <c r="L26" s="14">
        <f t="shared" si="4"/>
        <v>473.6</v>
      </c>
      <c r="M26" s="7">
        <f t="shared" si="5"/>
        <v>473.6</v>
      </c>
      <c r="N26" s="52"/>
      <c r="P26" s="4"/>
      <c r="AH26" s="4"/>
    </row>
    <row r="27" spans="1:34" ht="13.5" thickBot="1">
      <c r="A27" s="148" t="s">
        <v>4</v>
      </c>
      <c r="B27" s="149"/>
      <c r="C27" s="150"/>
      <c r="D27" s="57">
        <f t="shared" ref="D27:N27" si="8">SUM(D16:D26)</f>
        <v>748.37999999999988</v>
      </c>
      <c r="E27" s="10">
        <f t="shared" si="8"/>
        <v>600</v>
      </c>
      <c r="F27" s="10">
        <f t="shared" si="8"/>
        <v>600</v>
      </c>
      <c r="G27" s="10">
        <f t="shared" si="8"/>
        <v>1842.12</v>
      </c>
      <c r="H27" s="10">
        <f t="shared" si="8"/>
        <v>600</v>
      </c>
      <c r="I27" s="10">
        <f t="shared" si="8"/>
        <v>300</v>
      </c>
      <c r="J27" s="10">
        <f t="shared" si="8"/>
        <v>-58.67</v>
      </c>
      <c r="K27" s="10">
        <f t="shared" si="8"/>
        <v>0</v>
      </c>
      <c r="L27" s="13">
        <f>SUM(L16:L26)</f>
        <v>4631.83</v>
      </c>
      <c r="M27" s="13">
        <f t="shared" si="8"/>
        <v>3340.9199999999996</v>
      </c>
      <c r="N27" s="5">
        <f t="shared" si="8"/>
        <v>1290.9100000000001</v>
      </c>
      <c r="O27" s="45">
        <f>M27+N27</f>
        <v>4631.83</v>
      </c>
      <c r="P27" s="4">
        <v>5909.73</v>
      </c>
      <c r="Q27" s="4">
        <f>L27-P27</f>
        <v>-1277.8999999999996</v>
      </c>
      <c r="R27" s="3" t="s">
        <v>106</v>
      </c>
      <c r="S27" s="3">
        <v>1393.69</v>
      </c>
      <c r="T27" s="3" t="s">
        <v>107</v>
      </c>
      <c r="AH27" s="4"/>
    </row>
    <row r="28" spans="1:34">
      <c r="A28" s="51">
        <v>1</v>
      </c>
      <c r="B28" s="164" t="s">
        <v>273</v>
      </c>
      <c r="C28" s="168"/>
      <c r="D28" s="169">
        <v>27.09</v>
      </c>
      <c r="E28" s="9"/>
      <c r="F28" s="9"/>
      <c r="G28" s="9"/>
      <c r="H28" s="9"/>
      <c r="I28" s="9"/>
      <c r="J28" s="9"/>
      <c r="K28" s="9"/>
      <c r="L28" s="15">
        <f>SUM(D28:K28)</f>
        <v>27.09</v>
      </c>
      <c r="M28" s="7">
        <f>L28-N28</f>
        <v>27.09</v>
      </c>
      <c r="N28" s="163"/>
      <c r="P28" s="4"/>
      <c r="AH28" s="4"/>
    </row>
    <row r="29" spans="1:34">
      <c r="A29" s="20">
        <f>A28+1</f>
        <v>2</v>
      </c>
      <c r="B29" s="166" t="s">
        <v>273</v>
      </c>
      <c r="C29" s="167"/>
      <c r="D29" s="169">
        <v>47.05</v>
      </c>
      <c r="E29" s="9"/>
      <c r="F29" s="9"/>
      <c r="G29" s="9">
        <v>94.91</v>
      </c>
      <c r="H29" s="9">
        <v>67.17</v>
      </c>
      <c r="I29" s="9">
        <v>53.97</v>
      </c>
      <c r="J29" s="9"/>
      <c r="K29" s="9"/>
      <c r="L29" s="15">
        <f t="shared" ref="L29:L34" si="9">SUM(D29:K29)</f>
        <v>263.10000000000002</v>
      </c>
      <c r="M29" s="9">
        <f t="shared" ref="M29:M34" si="10">L29-N29</f>
        <v>113.10000000000002</v>
      </c>
      <c r="N29" s="52">
        <v>150</v>
      </c>
      <c r="P29" s="4"/>
      <c r="AH29" s="4"/>
    </row>
    <row r="30" spans="1:34">
      <c r="A30" s="20">
        <f t="shared" ref="A30:A48" si="11">A29+1</f>
        <v>3</v>
      </c>
      <c r="B30" s="166" t="s">
        <v>273</v>
      </c>
      <c r="C30" s="167"/>
      <c r="D30" s="169">
        <v>41.79</v>
      </c>
      <c r="E30" s="9"/>
      <c r="F30" s="9"/>
      <c r="G30" s="9"/>
      <c r="H30" s="9">
        <v>67.17</v>
      </c>
      <c r="I30" s="9">
        <v>53.97</v>
      </c>
      <c r="J30" s="9">
        <v>44.68</v>
      </c>
      <c r="K30" s="9"/>
      <c r="L30" s="15">
        <f t="shared" si="9"/>
        <v>207.61</v>
      </c>
      <c r="M30" s="9">
        <f t="shared" si="10"/>
        <v>57.610000000000014</v>
      </c>
      <c r="N30" s="52">
        <v>150</v>
      </c>
      <c r="P30" s="4"/>
      <c r="AH30" s="4"/>
    </row>
    <row r="31" spans="1:34">
      <c r="A31" s="20">
        <f t="shared" si="11"/>
        <v>4</v>
      </c>
      <c r="B31" s="166" t="s">
        <v>273</v>
      </c>
      <c r="C31" s="167"/>
      <c r="D31" s="169">
        <v>54.18</v>
      </c>
      <c r="E31" s="9"/>
      <c r="F31" s="9">
        <v>31.5</v>
      </c>
      <c r="G31" s="42"/>
      <c r="H31" s="9"/>
      <c r="I31" s="9"/>
      <c r="J31" s="9"/>
      <c r="K31" s="9">
        <v>-11.14</v>
      </c>
      <c r="L31" s="15">
        <f t="shared" si="9"/>
        <v>74.540000000000006</v>
      </c>
      <c r="M31" s="9">
        <f t="shared" si="10"/>
        <v>0</v>
      </c>
      <c r="N31" s="52">
        <v>74.540000000000006</v>
      </c>
      <c r="P31" s="4"/>
      <c r="AH31" s="4"/>
    </row>
    <row r="32" spans="1:34">
      <c r="A32" s="20">
        <f t="shared" si="11"/>
        <v>5</v>
      </c>
      <c r="B32" s="166" t="s">
        <v>273</v>
      </c>
      <c r="C32" s="167"/>
      <c r="D32" s="169">
        <v>54.18</v>
      </c>
      <c r="E32" s="9"/>
      <c r="F32" s="9"/>
      <c r="G32" s="9"/>
      <c r="H32" s="9">
        <v>67.17</v>
      </c>
      <c r="I32" s="9"/>
      <c r="J32" s="42"/>
      <c r="K32" s="42"/>
      <c r="L32" s="15">
        <f t="shared" si="9"/>
        <v>121.35</v>
      </c>
      <c r="M32" s="9">
        <f t="shared" si="10"/>
        <v>0</v>
      </c>
      <c r="N32" s="52">
        <v>121.35</v>
      </c>
      <c r="P32" s="4"/>
      <c r="AH32" s="4"/>
    </row>
    <row r="33" spans="1:34">
      <c r="A33" s="20">
        <f t="shared" si="11"/>
        <v>6</v>
      </c>
      <c r="B33" s="166" t="s">
        <v>273</v>
      </c>
      <c r="C33" s="167"/>
      <c r="D33" s="169">
        <v>7.89</v>
      </c>
      <c r="E33" s="9"/>
      <c r="F33" s="9"/>
      <c r="G33" s="9"/>
      <c r="H33" s="42"/>
      <c r="I33" s="9"/>
      <c r="J33" s="42"/>
      <c r="K33" s="42"/>
      <c r="L33" s="15">
        <f t="shared" si="9"/>
        <v>7.89</v>
      </c>
      <c r="M33" s="9">
        <f t="shared" si="10"/>
        <v>7.89</v>
      </c>
      <c r="N33" s="52"/>
      <c r="P33" s="4"/>
      <c r="AH33" s="4"/>
    </row>
    <row r="34" spans="1:34">
      <c r="A34" s="20">
        <f t="shared" si="11"/>
        <v>7</v>
      </c>
      <c r="B34" s="166" t="s">
        <v>273</v>
      </c>
      <c r="C34" s="167"/>
      <c r="D34" s="169">
        <v>54.18</v>
      </c>
      <c r="E34" s="9">
        <v>250</v>
      </c>
      <c r="F34" s="9">
        <v>39.659999999999997</v>
      </c>
      <c r="G34" s="9">
        <v>123.17</v>
      </c>
      <c r="H34" s="9"/>
      <c r="I34" s="9"/>
      <c r="J34" s="42"/>
      <c r="K34" s="42"/>
      <c r="L34" s="15">
        <f t="shared" si="9"/>
        <v>467.01000000000005</v>
      </c>
      <c r="M34" s="9">
        <f t="shared" si="10"/>
        <v>317.01000000000005</v>
      </c>
      <c r="N34" s="52">
        <v>150</v>
      </c>
      <c r="P34" s="4"/>
      <c r="AH34" s="4"/>
    </row>
    <row r="35" spans="1:34">
      <c r="A35" s="20">
        <f t="shared" si="11"/>
        <v>8</v>
      </c>
      <c r="B35" s="166" t="s">
        <v>273</v>
      </c>
      <c r="C35" s="167"/>
      <c r="D35" s="169">
        <v>47.36</v>
      </c>
      <c r="E35" s="9"/>
      <c r="F35" s="9">
        <v>33.54</v>
      </c>
      <c r="G35" s="9">
        <v>104.17</v>
      </c>
      <c r="H35" s="9"/>
      <c r="I35" s="9"/>
      <c r="J35" s="42"/>
      <c r="K35" s="42"/>
      <c r="L35" s="15">
        <f t="shared" ref="L35:L41" si="12">SUM(D35:K35)</f>
        <v>185.07</v>
      </c>
      <c r="M35" s="9">
        <f t="shared" ref="M35:M51" si="13">L35-N35</f>
        <v>35.069999999999993</v>
      </c>
      <c r="N35" s="52">
        <f>150</f>
        <v>150</v>
      </c>
      <c r="P35" s="4"/>
      <c r="AH35" s="4"/>
    </row>
    <row r="36" spans="1:34">
      <c r="A36" s="20">
        <f t="shared" si="11"/>
        <v>9</v>
      </c>
      <c r="B36" s="166" t="s">
        <v>273</v>
      </c>
      <c r="C36" s="167"/>
      <c r="D36" s="169">
        <v>47.36</v>
      </c>
      <c r="E36" s="9"/>
      <c r="F36" s="9"/>
      <c r="G36" s="9">
        <v>104.87</v>
      </c>
      <c r="H36" s="9"/>
      <c r="I36" s="9"/>
      <c r="J36" s="9"/>
      <c r="K36" s="9"/>
      <c r="L36" s="15">
        <f t="shared" si="12"/>
        <v>152.23000000000002</v>
      </c>
      <c r="M36" s="9">
        <f t="shared" si="13"/>
        <v>2.2300000000000182</v>
      </c>
      <c r="N36" s="52">
        <v>150</v>
      </c>
      <c r="P36" s="4"/>
      <c r="AH36" s="4"/>
    </row>
    <row r="37" spans="1:34">
      <c r="A37" s="20">
        <f t="shared" si="11"/>
        <v>10</v>
      </c>
      <c r="B37" s="166" t="s">
        <v>273</v>
      </c>
      <c r="C37" s="167"/>
      <c r="D37" s="169">
        <v>43.65</v>
      </c>
      <c r="E37" s="9"/>
      <c r="F37" s="9"/>
      <c r="G37" s="9"/>
      <c r="H37" s="9"/>
      <c r="I37" s="9">
        <v>53.97</v>
      </c>
      <c r="J37" s="42"/>
      <c r="K37" s="42"/>
      <c r="L37" s="15">
        <f t="shared" si="12"/>
        <v>97.62</v>
      </c>
      <c r="M37" s="9">
        <f t="shared" si="13"/>
        <v>97.62</v>
      </c>
      <c r="N37" s="52"/>
      <c r="P37" s="4"/>
      <c r="AH37" s="4"/>
    </row>
    <row r="38" spans="1:34">
      <c r="A38" s="20">
        <f t="shared" si="11"/>
        <v>11</v>
      </c>
      <c r="B38" s="166" t="s">
        <v>273</v>
      </c>
      <c r="C38" s="167"/>
      <c r="D38" s="169">
        <v>45.15</v>
      </c>
      <c r="E38" s="9"/>
      <c r="F38" s="9"/>
      <c r="G38" s="9">
        <v>93.52</v>
      </c>
      <c r="H38" s="9"/>
      <c r="I38" s="9">
        <v>44.98</v>
      </c>
      <c r="J38" s="9">
        <v>48.26</v>
      </c>
      <c r="K38" s="42"/>
      <c r="L38" s="15">
        <f t="shared" si="12"/>
        <v>231.90999999999997</v>
      </c>
      <c r="M38" s="9">
        <f t="shared" si="13"/>
        <v>81.909999999999968</v>
      </c>
      <c r="N38" s="52">
        <v>150</v>
      </c>
      <c r="P38" s="4"/>
      <c r="AH38" s="4"/>
    </row>
    <row r="39" spans="1:34">
      <c r="A39" s="20">
        <f t="shared" si="11"/>
        <v>12</v>
      </c>
      <c r="B39" s="166" t="s">
        <v>273</v>
      </c>
      <c r="C39" s="167"/>
      <c r="D39" s="169">
        <v>54.18</v>
      </c>
      <c r="E39" s="9"/>
      <c r="F39" s="9">
        <v>34.03</v>
      </c>
      <c r="G39" s="9"/>
      <c r="H39" s="9"/>
      <c r="I39" s="9"/>
      <c r="J39" s="42"/>
      <c r="K39" s="42"/>
      <c r="L39" s="15">
        <f t="shared" si="12"/>
        <v>88.210000000000008</v>
      </c>
      <c r="M39" s="9">
        <f t="shared" si="13"/>
        <v>0</v>
      </c>
      <c r="N39" s="52">
        <v>88.21</v>
      </c>
      <c r="P39" s="4"/>
      <c r="AH39" s="4"/>
    </row>
    <row r="40" spans="1:34">
      <c r="A40" s="20">
        <f t="shared" si="11"/>
        <v>13</v>
      </c>
      <c r="B40" s="166" t="s">
        <v>273</v>
      </c>
      <c r="C40" s="167"/>
      <c r="D40" s="169">
        <v>46.13</v>
      </c>
      <c r="E40" s="9"/>
      <c r="F40" s="9"/>
      <c r="G40" s="9"/>
      <c r="H40" s="9"/>
      <c r="I40" s="9"/>
      <c r="J40" s="9"/>
      <c r="K40" s="9"/>
      <c r="L40" s="15">
        <f t="shared" si="12"/>
        <v>46.13</v>
      </c>
      <c r="M40" s="9">
        <f t="shared" si="13"/>
        <v>46.13</v>
      </c>
      <c r="N40" s="52"/>
      <c r="P40" s="4"/>
      <c r="AH40" s="4"/>
    </row>
    <row r="41" spans="1:34">
      <c r="A41" s="20">
        <f t="shared" si="11"/>
        <v>14</v>
      </c>
      <c r="B41" s="166" t="s">
        <v>273</v>
      </c>
      <c r="C41" s="167"/>
      <c r="D41" s="169">
        <v>54.18</v>
      </c>
      <c r="E41" s="9">
        <v>1285.26</v>
      </c>
      <c r="F41" s="9"/>
      <c r="G41" s="9">
        <v>110.94</v>
      </c>
      <c r="H41" s="9"/>
      <c r="I41" s="9">
        <v>53.97</v>
      </c>
      <c r="J41" s="9">
        <v>57.25</v>
      </c>
      <c r="K41" s="42"/>
      <c r="L41" s="15">
        <f t="shared" si="12"/>
        <v>1561.6000000000001</v>
      </c>
      <c r="M41" s="7">
        <f>L41-N41</f>
        <v>1561.6000000000001</v>
      </c>
      <c r="N41" s="52"/>
      <c r="P41" s="4"/>
      <c r="AH41" s="4"/>
    </row>
    <row r="42" spans="1:34">
      <c r="A42" s="20">
        <f t="shared" si="11"/>
        <v>15</v>
      </c>
      <c r="B42" s="166" t="s">
        <v>273</v>
      </c>
      <c r="C42" s="167"/>
      <c r="D42" s="169">
        <v>54.18</v>
      </c>
      <c r="E42" s="9"/>
      <c r="F42" s="9">
        <v>31.06</v>
      </c>
      <c r="G42" s="9">
        <v>100.68</v>
      </c>
      <c r="H42" s="9"/>
      <c r="I42" s="9"/>
      <c r="J42" s="9"/>
      <c r="K42" s="9">
        <v>-5.57</v>
      </c>
      <c r="L42" s="15">
        <f>SUM(D42:K42)</f>
        <v>180.35000000000002</v>
      </c>
      <c r="M42" s="9">
        <f t="shared" si="13"/>
        <v>30.350000000000023</v>
      </c>
      <c r="N42" s="52">
        <v>150</v>
      </c>
      <c r="P42" s="4"/>
      <c r="AH42" s="4"/>
    </row>
    <row r="43" spans="1:34">
      <c r="A43" s="20">
        <f t="shared" si="11"/>
        <v>16</v>
      </c>
      <c r="B43" s="166" t="s">
        <v>273</v>
      </c>
      <c r="C43" s="167"/>
      <c r="D43" s="169">
        <v>54.18</v>
      </c>
      <c r="E43" s="9"/>
      <c r="F43" s="9"/>
      <c r="G43" s="9"/>
      <c r="H43" s="9"/>
      <c r="I43" s="9"/>
      <c r="J43" s="9">
        <v>57.25</v>
      </c>
      <c r="K43" s="9"/>
      <c r="L43" s="15">
        <f>SUM(D43:K43)</f>
        <v>111.43</v>
      </c>
      <c r="M43" s="9">
        <f t="shared" si="13"/>
        <v>0</v>
      </c>
      <c r="N43" s="52">
        <f>L43</f>
        <v>111.43</v>
      </c>
      <c r="P43" s="4"/>
      <c r="Q43" s="3" t="s">
        <v>103</v>
      </c>
      <c r="AH43" s="4"/>
    </row>
    <row r="44" spans="1:34">
      <c r="A44" s="20">
        <f t="shared" si="11"/>
        <v>17</v>
      </c>
      <c r="B44" s="166" t="s">
        <v>273</v>
      </c>
      <c r="C44" s="167"/>
      <c r="D44" s="169">
        <v>54.18</v>
      </c>
      <c r="E44" s="9"/>
      <c r="F44" s="9">
        <v>34.619999999999997</v>
      </c>
      <c r="G44" s="9"/>
      <c r="H44" s="9"/>
      <c r="I44" s="9"/>
      <c r="J44" s="9">
        <v>57.91</v>
      </c>
      <c r="K44" s="9"/>
      <c r="L44" s="15">
        <f t="shared" ref="L44:L50" si="14">SUM(D44:K44)</f>
        <v>146.70999999999998</v>
      </c>
      <c r="M44" s="9">
        <f t="shared" si="13"/>
        <v>0</v>
      </c>
      <c r="N44" s="52">
        <f>L44</f>
        <v>146.70999999999998</v>
      </c>
      <c r="P44" s="4"/>
      <c r="AH44" s="4"/>
    </row>
    <row r="45" spans="1:34">
      <c r="A45" s="20">
        <f t="shared" si="11"/>
        <v>18</v>
      </c>
      <c r="B45" s="166" t="s">
        <v>273</v>
      </c>
      <c r="C45" s="167"/>
      <c r="D45" s="169">
        <v>23.37</v>
      </c>
      <c r="E45" s="9"/>
      <c r="F45" s="9">
        <v>14.54</v>
      </c>
      <c r="G45" s="9">
        <v>47.13</v>
      </c>
      <c r="H45" s="9"/>
      <c r="I45" s="9">
        <v>26.99</v>
      </c>
      <c r="J45" s="9"/>
      <c r="K45" s="9"/>
      <c r="L45" s="15">
        <f t="shared" si="14"/>
        <v>112.02999999999999</v>
      </c>
      <c r="M45" s="9">
        <f t="shared" si="13"/>
        <v>29.86999999999999</v>
      </c>
      <c r="N45" s="52">
        <f>75+7.16</f>
        <v>82.16</v>
      </c>
      <c r="P45" s="4"/>
      <c r="AH45" s="4"/>
    </row>
    <row r="46" spans="1:34">
      <c r="A46" s="20">
        <f t="shared" si="11"/>
        <v>19</v>
      </c>
      <c r="B46" s="166" t="s">
        <v>273</v>
      </c>
      <c r="C46" s="167"/>
      <c r="D46" s="169">
        <v>47.36</v>
      </c>
      <c r="E46" s="9"/>
      <c r="F46" s="9">
        <v>29.68</v>
      </c>
      <c r="G46" s="9">
        <v>96.19</v>
      </c>
      <c r="H46" s="9"/>
      <c r="I46" s="9"/>
      <c r="J46" s="9"/>
      <c r="K46" s="9"/>
      <c r="L46" s="15">
        <f t="shared" si="14"/>
        <v>173.23</v>
      </c>
      <c r="M46" s="9">
        <f t="shared" si="13"/>
        <v>23.22999999999999</v>
      </c>
      <c r="N46" s="52">
        <v>150</v>
      </c>
      <c r="P46" s="4"/>
      <c r="AH46" s="4"/>
    </row>
    <row r="47" spans="1:34">
      <c r="A47" s="20">
        <f t="shared" si="11"/>
        <v>20</v>
      </c>
      <c r="B47" s="166" t="s">
        <v>273</v>
      </c>
      <c r="C47" s="167"/>
      <c r="D47" s="169">
        <v>37.770000000000003</v>
      </c>
      <c r="E47" s="9">
        <v>214.74</v>
      </c>
      <c r="F47" s="9"/>
      <c r="G47" s="9"/>
      <c r="H47" s="9"/>
      <c r="I47" s="9"/>
      <c r="J47" s="9">
        <v>22.5</v>
      </c>
      <c r="K47" s="9">
        <v>-16.72</v>
      </c>
      <c r="L47" s="15">
        <f t="shared" si="14"/>
        <v>258.28999999999996</v>
      </c>
      <c r="M47" s="7">
        <f>L47-N47</f>
        <v>258.28999999999996</v>
      </c>
      <c r="N47" s="52"/>
      <c r="P47" s="4"/>
      <c r="AH47" s="4"/>
    </row>
    <row r="48" spans="1:34">
      <c r="A48" s="20">
        <f t="shared" si="11"/>
        <v>21</v>
      </c>
      <c r="B48" s="166" t="s">
        <v>273</v>
      </c>
      <c r="C48" s="167"/>
      <c r="D48" s="169">
        <v>54.18</v>
      </c>
      <c r="E48" s="9">
        <v>750</v>
      </c>
      <c r="F48" s="9"/>
      <c r="G48" s="42"/>
      <c r="H48" s="9"/>
      <c r="I48" s="9"/>
      <c r="J48" s="9"/>
      <c r="K48" s="9"/>
      <c r="L48" s="15">
        <f t="shared" si="14"/>
        <v>804.18</v>
      </c>
      <c r="M48" s="7">
        <f t="shared" si="13"/>
        <v>804.18</v>
      </c>
      <c r="N48" s="52"/>
      <c r="P48" s="4"/>
      <c r="AH48" s="4"/>
    </row>
    <row r="49" spans="1:35">
      <c r="A49" s="20">
        <f t="shared" ref="A49:A52" si="15">A48+1</f>
        <v>22</v>
      </c>
      <c r="B49" s="166" t="s">
        <v>273</v>
      </c>
      <c r="C49" s="167"/>
      <c r="D49" s="169">
        <v>39.32</v>
      </c>
      <c r="E49" s="42"/>
      <c r="F49" s="9"/>
      <c r="G49" s="9">
        <v>89.39</v>
      </c>
      <c r="H49" s="9"/>
      <c r="I49" s="9"/>
      <c r="J49" s="9"/>
      <c r="K49" s="9"/>
      <c r="L49" s="15">
        <f t="shared" si="14"/>
        <v>128.71</v>
      </c>
      <c r="M49" s="7">
        <f t="shared" si="13"/>
        <v>128.71</v>
      </c>
      <c r="N49" s="52"/>
      <c r="P49" s="4"/>
      <c r="AH49" s="4"/>
    </row>
    <row r="50" spans="1:35">
      <c r="A50" s="20">
        <f t="shared" si="15"/>
        <v>23</v>
      </c>
      <c r="B50" s="166" t="s">
        <v>273</v>
      </c>
      <c r="C50" s="167"/>
      <c r="D50" s="169">
        <v>54.18</v>
      </c>
      <c r="E50" s="42"/>
      <c r="F50" s="9"/>
      <c r="G50" s="42"/>
      <c r="H50" s="42"/>
      <c r="I50" s="9"/>
      <c r="J50" s="9"/>
      <c r="K50" s="9"/>
      <c r="L50" s="15">
        <f t="shared" si="14"/>
        <v>54.18</v>
      </c>
      <c r="M50" s="9">
        <f t="shared" si="13"/>
        <v>0</v>
      </c>
      <c r="N50" s="52">
        <v>54.18</v>
      </c>
      <c r="P50" s="4"/>
      <c r="AH50" s="4"/>
    </row>
    <row r="51" spans="1:35">
      <c r="A51" s="20">
        <f t="shared" si="15"/>
        <v>24</v>
      </c>
      <c r="B51" s="166" t="s">
        <v>273</v>
      </c>
      <c r="C51" s="167"/>
      <c r="D51" s="169">
        <v>54.18</v>
      </c>
      <c r="E51" s="9"/>
      <c r="F51" s="9">
        <v>39.21</v>
      </c>
      <c r="G51" s="9">
        <v>121.76</v>
      </c>
      <c r="H51" s="42"/>
      <c r="I51" s="9"/>
      <c r="J51" s="9"/>
      <c r="K51" s="9"/>
      <c r="L51" s="15">
        <f>SUM(D51:K51)</f>
        <v>215.15</v>
      </c>
      <c r="M51" s="9">
        <f t="shared" si="13"/>
        <v>65.150000000000006</v>
      </c>
      <c r="N51" s="52">
        <v>150</v>
      </c>
      <c r="P51" s="4"/>
      <c r="Q51" s="4">
        <f>S53-N53</f>
        <v>161.51</v>
      </c>
      <c r="AH51" s="4"/>
    </row>
    <row r="52" spans="1:35" ht="12.75" customHeight="1" thickBot="1">
      <c r="A52" s="22">
        <f t="shared" si="15"/>
        <v>25</v>
      </c>
      <c r="B52" s="166" t="s">
        <v>273</v>
      </c>
      <c r="C52" s="167"/>
      <c r="D52" s="169">
        <v>54.18</v>
      </c>
      <c r="E52" s="9"/>
      <c r="F52" s="9"/>
      <c r="G52" s="42"/>
      <c r="H52" s="42"/>
      <c r="I52" s="9"/>
      <c r="J52" s="9"/>
      <c r="K52" s="9"/>
      <c r="L52" s="15">
        <f>SUM(D52:K52)</f>
        <v>54.18</v>
      </c>
      <c r="M52" s="7">
        <f>L52-N52</f>
        <v>54.18</v>
      </c>
      <c r="N52" s="52"/>
      <c r="P52" s="4"/>
      <c r="AH52" s="4"/>
    </row>
    <row r="53" spans="1:35" ht="13.5" thickBot="1">
      <c r="A53" s="148" t="s">
        <v>8</v>
      </c>
      <c r="B53" s="149"/>
      <c r="C53" s="150"/>
      <c r="D53" s="58">
        <f t="shared" ref="D53:N53" si="16">SUM(D28:D52)</f>
        <v>1151.4499999999998</v>
      </c>
      <c r="E53" s="58">
        <f t="shared" si="16"/>
        <v>2500</v>
      </c>
      <c r="F53" s="58">
        <f t="shared" si="16"/>
        <v>287.83999999999997</v>
      </c>
      <c r="G53" s="58">
        <f t="shared" si="16"/>
        <v>1086.73</v>
      </c>
      <c r="H53" s="58">
        <f t="shared" si="16"/>
        <v>201.51</v>
      </c>
      <c r="I53" s="58">
        <f t="shared" si="16"/>
        <v>287.85000000000002</v>
      </c>
      <c r="J53" s="58">
        <f t="shared" si="16"/>
        <v>287.85000000000002</v>
      </c>
      <c r="K53" s="58">
        <f t="shared" si="16"/>
        <v>-33.43</v>
      </c>
      <c r="L53" s="58">
        <f t="shared" si="16"/>
        <v>5769.8000000000011</v>
      </c>
      <c r="M53" s="65">
        <f t="shared" si="16"/>
        <v>3741.22</v>
      </c>
      <c r="N53" s="5">
        <f t="shared" si="16"/>
        <v>2028.5800000000002</v>
      </c>
      <c r="O53" s="45">
        <f>M53+N53</f>
        <v>5769.8</v>
      </c>
      <c r="P53" s="4">
        <v>9286.7099999999991</v>
      </c>
      <c r="Q53" s="4">
        <f>L53-P53</f>
        <v>-3516.909999999998</v>
      </c>
      <c r="R53" s="3" t="s">
        <v>106</v>
      </c>
      <c r="S53" s="3">
        <v>2190.09</v>
      </c>
      <c r="T53" s="3" t="s">
        <v>108</v>
      </c>
      <c r="AH53" s="4"/>
      <c r="AI53" s="4"/>
    </row>
    <row r="54" spans="1:35" ht="13.5" thickBot="1">
      <c r="A54" s="139" t="s">
        <v>5</v>
      </c>
      <c r="B54" s="140"/>
      <c r="C54" s="141"/>
      <c r="D54" s="59">
        <f t="shared" ref="D54:O54" si="17">SUM(D15,D27,D53)</f>
        <v>3199.8099999999995</v>
      </c>
      <c r="E54" s="59">
        <f t="shared" si="17"/>
        <v>3700</v>
      </c>
      <c r="F54" s="59">
        <f t="shared" si="17"/>
        <v>4213.09</v>
      </c>
      <c r="G54" s="59">
        <f t="shared" si="17"/>
        <v>2817.48</v>
      </c>
      <c r="H54" s="59">
        <f t="shared" si="17"/>
        <v>801.51</v>
      </c>
      <c r="I54" s="59">
        <f t="shared" si="17"/>
        <v>587.85</v>
      </c>
      <c r="J54" s="59">
        <f t="shared" si="17"/>
        <v>229.18</v>
      </c>
      <c r="K54" s="59">
        <f t="shared" si="17"/>
        <v>-33.43</v>
      </c>
      <c r="L54" s="59">
        <f t="shared" si="17"/>
        <v>15515.49</v>
      </c>
      <c r="M54" s="66">
        <f t="shared" si="17"/>
        <v>10905.089999999998</v>
      </c>
      <c r="N54" s="11">
        <f t="shared" si="17"/>
        <v>4610.4000000000005</v>
      </c>
      <c r="O54" s="18">
        <f t="shared" si="17"/>
        <v>15515.489999999998</v>
      </c>
      <c r="P54" s="4"/>
      <c r="AH54" s="4"/>
    </row>
    <row r="55" spans="1:35" ht="7.5" customHeight="1" thickTop="1">
      <c r="A55" s="2"/>
      <c r="B55" s="2"/>
      <c r="C55" s="2"/>
      <c r="D55" s="60"/>
      <c r="E55" s="60"/>
      <c r="F55" s="60"/>
      <c r="G55" s="60"/>
      <c r="H55" s="60"/>
      <c r="I55" s="60"/>
      <c r="J55" s="60"/>
      <c r="K55" s="60"/>
      <c r="L55" s="47"/>
      <c r="M55" s="4"/>
      <c r="N55" s="4"/>
      <c r="O55" s="4"/>
    </row>
    <row r="56" spans="1:35">
      <c r="A56" s="2" t="s">
        <v>270</v>
      </c>
      <c r="B56" s="2" t="s">
        <v>271</v>
      </c>
      <c r="C56" s="2"/>
      <c r="D56" s="152"/>
      <c r="E56" s="152"/>
      <c r="F56" s="152"/>
      <c r="G56" s="152"/>
      <c r="H56" s="152"/>
      <c r="I56" s="152"/>
      <c r="J56" s="152"/>
      <c r="K56" s="152"/>
      <c r="L56" s="47"/>
      <c r="M56" s="4"/>
      <c r="N56" s="4"/>
      <c r="O56" s="4"/>
    </row>
    <row r="57" spans="1:35" ht="4.5" customHeight="1">
      <c r="A57" s="2"/>
      <c r="B57" s="2"/>
      <c r="C57" s="2"/>
      <c r="D57" s="152"/>
      <c r="E57" s="152"/>
      <c r="F57" s="152"/>
      <c r="G57" s="152"/>
      <c r="H57" s="152"/>
      <c r="I57" s="152"/>
      <c r="J57" s="152"/>
      <c r="K57" s="152"/>
      <c r="L57" s="47"/>
      <c r="M57" s="4"/>
      <c r="N57" s="4"/>
      <c r="O57" s="4"/>
    </row>
    <row r="58" spans="1:35" ht="12.75" customHeight="1">
      <c r="A58" s="3" t="s">
        <v>272</v>
      </c>
      <c r="D58" s="6"/>
      <c r="E58" s="6"/>
      <c r="F58" s="6"/>
      <c r="L58" s="4"/>
      <c r="M58" s="4"/>
      <c r="N58" s="4"/>
      <c r="O58" s="4"/>
      <c r="P58" s="4"/>
    </row>
    <row r="59" spans="1:35" ht="14.25" customHeight="1">
      <c r="D59" s="6"/>
      <c r="E59" s="6"/>
      <c r="F59" s="6"/>
      <c r="K59" s="153"/>
      <c r="L59" s="154" t="s">
        <v>141</v>
      </c>
      <c r="M59" s="155"/>
      <c r="N59" s="4"/>
      <c r="O59" s="4"/>
      <c r="P59" s="4"/>
    </row>
    <row r="60" spans="1:35" ht="12" customHeight="1">
      <c r="D60" s="6"/>
      <c r="E60" s="6"/>
      <c r="F60" s="6"/>
      <c r="K60" s="153"/>
      <c r="L60" s="154" t="s">
        <v>142</v>
      </c>
      <c r="M60" s="155"/>
      <c r="N60" s="4"/>
      <c r="O60" s="4"/>
      <c r="P60" s="4"/>
    </row>
    <row r="61" spans="1:35" ht="13.5" customHeight="1">
      <c r="A61" s="46" t="s">
        <v>6</v>
      </c>
      <c r="B61" s="46"/>
      <c r="C61" s="46"/>
      <c r="D61" s="6"/>
      <c r="E61" s="6"/>
      <c r="F61" s="6"/>
      <c r="L61" s="4"/>
      <c r="M61" s="4"/>
      <c r="N61" s="4"/>
      <c r="O61" s="4"/>
      <c r="P61" s="4"/>
    </row>
    <row r="62" spans="1:35" ht="15.75" customHeight="1">
      <c r="A62" s="1" t="s">
        <v>2</v>
      </c>
      <c r="B62" s="1"/>
      <c r="C62" s="1"/>
      <c r="D62" s="6"/>
      <c r="E62" s="6"/>
      <c r="F62" s="6"/>
      <c r="L62" s="4"/>
      <c r="M62" s="4"/>
      <c r="N62" s="4"/>
      <c r="O62" s="4"/>
      <c r="P62" s="4"/>
    </row>
    <row r="63" spans="1:35" ht="14.25" customHeight="1">
      <c r="A63" s="82">
        <v>1</v>
      </c>
      <c r="B63" s="138" t="s">
        <v>59</v>
      </c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4"/>
      <c r="P63" s="4"/>
    </row>
    <row r="64" spans="1:35" ht="14.25" customHeight="1">
      <c r="A64" s="83">
        <f>A63+1</f>
        <v>2</v>
      </c>
      <c r="B64" s="138" t="s">
        <v>198</v>
      </c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4"/>
      <c r="P64" s="4"/>
    </row>
    <row r="65" spans="1:16" ht="25.5" customHeight="1">
      <c r="A65" s="83">
        <f>A64+1</f>
        <v>3</v>
      </c>
      <c r="B65" s="138" t="s">
        <v>199</v>
      </c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4"/>
      <c r="P65" s="4"/>
    </row>
    <row r="66" spans="1:16" ht="15.75" customHeight="1">
      <c r="A66" s="83">
        <f>A65+1</f>
        <v>4</v>
      </c>
      <c r="B66" s="138" t="s">
        <v>143</v>
      </c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4"/>
      <c r="P66" s="4"/>
    </row>
    <row r="67" spans="1:16" ht="15.75" customHeight="1">
      <c r="A67" s="21" t="s">
        <v>0</v>
      </c>
      <c r="D67" s="6"/>
      <c r="E67" s="6"/>
      <c r="F67" s="6"/>
      <c r="L67" s="4"/>
      <c r="M67" s="4"/>
      <c r="N67" s="4"/>
      <c r="O67" s="4"/>
      <c r="P67" s="4"/>
    </row>
    <row r="68" spans="1:16" ht="15.75" customHeight="1">
      <c r="A68" s="82">
        <v>1</v>
      </c>
      <c r="B68" s="138" t="s">
        <v>59</v>
      </c>
      <c r="C68" s="138"/>
      <c r="D68" s="138"/>
      <c r="E68" s="138"/>
      <c r="F68" s="138">
        <f>177/36*30</f>
        <v>147.5</v>
      </c>
      <c r="G68" s="138"/>
      <c r="H68" s="138"/>
      <c r="I68" s="138"/>
      <c r="J68" s="138"/>
      <c r="K68" s="138"/>
      <c r="L68" s="138"/>
      <c r="M68" s="138"/>
      <c r="N68" s="138"/>
      <c r="O68" s="4"/>
      <c r="P68" s="4"/>
    </row>
    <row r="69" spans="1:16" ht="15.75" customHeight="1">
      <c r="A69" s="83">
        <f t="shared" ref="A69:A74" si="18">A68+1</f>
        <v>2</v>
      </c>
      <c r="B69" s="138" t="s">
        <v>200</v>
      </c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4"/>
      <c r="P69" s="4"/>
    </row>
    <row r="70" spans="1:16" ht="15.75" customHeight="1">
      <c r="A70" s="83">
        <f t="shared" si="18"/>
        <v>3</v>
      </c>
      <c r="B70" s="138" t="s">
        <v>201</v>
      </c>
      <c r="C70" s="138"/>
      <c r="D70" s="138"/>
      <c r="E70" s="138"/>
      <c r="F70" s="138">
        <f>355/36*27</f>
        <v>266.25</v>
      </c>
      <c r="G70" s="138"/>
      <c r="H70" s="138"/>
      <c r="I70" s="138"/>
      <c r="J70" s="138"/>
      <c r="K70" s="138"/>
      <c r="L70" s="138"/>
      <c r="M70" s="138"/>
      <c r="N70" s="138"/>
      <c r="O70" s="4"/>
      <c r="P70" s="4"/>
    </row>
    <row r="71" spans="1:16" ht="15.75" customHeight="1">
      <c r="A71" s="83">
        <f t="shared" si="18"/>
        <v>4</v>
      </c>
      <c r="B71" s="138" t="s">
        <v>202</v>
      </c>
      <c r="C71" s="138"/>
      <c r="D71" s="138"/>
      <c r="E71" s="138"/>
      <c r="F71" s="138">
        <f>532/2</f>
        <v>266</v>
      </c>
      <c r="G71" s="138"/>
      <c r="H71" s="138"/>
      <c r="I71" s="138"/>
      <c r="J71" s="138"/>
      <c r="K71" s="138"/>
      <c r="L71" s="138"/>
      <c r="M71" s="138"/>
      <c r="N71" s="138"/>
      <c r="O71" s="4"/>
      <c r="P71" s="4"/>
    </row>
    <row r="72" spans="1:16" ht="15.75" customHeight="1">
      <c r="A72" s="83">
        <f t="shared" si="18"/>
        <v>5</v>
      </c>
      <c r="B72" s="138" t="s">
        <v>203</v>
      </c>
      <c r="C72" s="138"/>
      <c r="D72" s="138"/>
      <c r="E72" s="138"/>
      <c r="F72" s="138">
        <f>355/2</f>
        <v>177.5</v>
      </c>
      <c r="G72" s="138"/>
      <c r="H72" s="138"/>
      <c r="I72" s="138"/>
      <c r="J72" s="138"/>
      <c r="K72" s="138"/>
      <c r="L72" s="138"/>
      <c r="M72" s="138"/>
      <c r="N72" s="138"/>
      <c r="O72" s="4"/>
      <c r="P72" s="4"/>
    </row>
    <row r="73" spans="1:16" ht="13.5" customHeight="1">
      <c r="A73" s="83">
        <f t="shared" si="18"/>
        <v>6</v>
      </c>
      <c r="B73" s="138" t="s">
        <v>204</v>
      </c>
      <c r="C73" s="138"/>
      <c r="D73" s="138"/>
      <c r="E73" s="138"/>
      <c r="F73" s="138"/>
      <c r="G73" s="138"/>
      <c r="H73" s="138"/>
      <c r="I73" s="138"/>
      <c r="J73" s="138"/>
      <c r="K73" s="138"/>
      <c r="L73" s="138"/>
      <c r="M73" s="138"/>
      <c r="N73" s="138"/>
    </row>
    <row r="74" spans="1:16" ht="13.5" customHeight="1">
      <c r="A74" s="83">
        <f t="shared" si="18"/>
        <v>7</v>
      </c>
      <c r="B74" s="138" t="s">
        <v>143</v>
      </c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</row>
    <row r="75" spans="1:16" ht="13.5" customHeight="1">
      <c r="A75" s="21" t="s">
        <v>1</v>
      </c>
      <c r="B75" s="62"/>
      <c r="C75" s="62"/>
      <c r="D75" s="44"/>
      <c r="E75" s="44"/>
      <c r="F75" s="44"/>
      <c r="G75" s="44"/>
      <c r="H75" s="44"/>
      <c r="I75" s="44"/>
      <c r="J75" s="44"/>
      <c r="K75" s="44"/>
      <c r="L75" s="61"/>
    </row>
    <row r="76" spans="1:16">
      <c r="A76" s="83">
        <v>1</v>
      </c>
      <c r="B76" s="138" t="s">
        <v>81</v>
      </c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</row>
    <row r="77" spans="1:16">
      <c r="A77" s="83">
        <f t="shared" ref="A77:A83" si="19">A76+1</f>
        <v>2</v>
      </c>
      <c r="B77" s="138" t="s">
        <v>97</v>
      </c>
      <c r="C77" s="138"/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</row>
    <row r="78" spans="1:16">
      <c r="A78" s="83">
        <f t="shared" si="19"/>
        <v>3</v>
      </c>
      <c r="B78" s="138" t="s">
        <v>82</v>
      </c>
      <c r="C78" s="138"/>
      <c r="D78" s="138"/>
      <c r="E78" s="138"/>
      <c r="F78" s="138"/>
      <c r="G78" s="138"/>
      <c r="H78" s="138"/>
      <c r="I78" s="138"/>
      <c r="J78" s="138"/>
      <c r="K78" s="138"/>
      <c r="L78" s="138"/>
      <c r="M78" s="138"/>
      <c r="N78" s="138"/>
    </row>
    <row r="79" spans="1:16">
      <c r="A79" s="83">
        <f t="shared" si="19"/>
        <v>4</v>
      </c>
      <c r="B79" s="138" t="s">
        <v>98</v>
      </c>
      <c r="C79" s="138"/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</row>
    <row r="80" spans="1:16">
      <c r="A80" s="83">
        <f t="shared" si="19"/>
        <v>5</v>
      </c>
      <c r="B80" s="138" t="s">
        <v>205</v>
      </c>
      <c r="C80" s="138"/>
      <c r="D80" s="138"/>
      <c r="E80" s="138"/>
      <c r="F80" s="138"/>
      <c r="G80" s="138"/>
      <c r="H80" s="138"/>
      <c r="I80" s="138"/>
      <c r="J80" s="138"/>
      <c r="K80" s="138"/>
      <c r="L80" s="138"/>
      <c r="M80" s="138"/>
      <c r="N80" s="138"/>
    </row>
    <row r="81" spans="1:14">
      <c r="A81" s="83">
        <f t="shared" si="19"/>
        <v>6</v>
      </c>
      <c r="B81" s="138" t="s">
        <v>206</v>
      </c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</row>
    <row r="82" spans="1:14">
      <c r="A82" s="83">
        <f t="shared" si="19"/>
        <v>7</v>
      </c>
      <c r="B82" s="138" t="s">
        <v>99</v>
      </c>
      <c r="C82" s="138"/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</row>
    <row r="83" spans="1:14">
      <c r="A83" s="83">
        <f t="shared" si="19"/>
        <v>8</v>
      </c>
      <c r="B83" s="138" t="s">
        <v>143</v>
      </c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</row>
  </sheetData>
  <mergeCells count="73">
    <mergeCell ref="B50:C50"/>
    <mergeCell ref="B51:C51"/>
    <mergeCell ref="B52:C52"/>
    <mergeCell ref="B45:C45"/>
    <mergeCell ref="B46:C46"/>
    <mergeCell ref="B47:C47"/>
    <mergeCell ref="B48:C48"/>
    <mergeCell ref="B49:C49"/>
    <mergeCell ref="B40:C40"/>
    <mergeCell ref="B41:C41"/>
    <mergeCell ref="B42:C42"/>
    <mergeCell ref="B43:C43"/>
    <mergeCell ref="B44:C44"/>
    <mergeCell ref="B35:C35"/>
    <mergeCell ref="B36:C36"/>
    <mergeCell ref="B37:C37"/>
    <mergeCell ref="B38:C38"/>
    <mergeCell ref="B39:C39"/>
    <mergeCell ref="B30:C30"/>
    <mergeCell ref="B31:C31"/>
    <mergeCell ref="B32:C32"/>
    <mergeCell ref="B33:C33"/>
    <mergeCell ref="B34:C34"/>
    <mergeCell ref="B24:C24"/>
    <mergeCell ref="B25:C25"/>
    <mergeCell ref="B26:C26"/>
    <mergeCell ref="B28:C28"/>
    <mergeCell ref="B29:C29"/>
    <mergeCell ref="B19:C19"/>
    <mergeCell ref="B20:C20"/>
    <mergeCell ref="B21:C21"/>
    <mergeCell ref="B22:C22"/>
    <mergeCell ref="B23:C23"/>
    <mergeCell ref="B14:C14"/>
    <mergeCell ref="B5:C5"/>
    <mergeCell ref="B16:C16"/>
    <mergeCell ref="B17:C17"/>
    <mergeCell ref="B18:C18"/>
    <mergeCell ref="A54:C54"/>
    <mergeCell ref="A1:N1"/>
    <mergeCell ref="A2:N2"/>
    <mergeCell ref="A3:C3"/>
    <mergeCell ref="A15:C15"/>
    <mergeCell ref="A27:C27"/>
    <mergeCell ref="A53:C53"/>
    <mergeCell ref="B4:C4"/>
    <mergeCell ref="B7:C7"/>
    <mergeCell ref="B6:C6"/>
    <mergeCell ref="B8:C8"/>
    <mergeCell ref="B9:C9"/>
    <mergeCell ref="B10:C10"/>
    <mergeCell ref="B11:C11"/>
    <mergeCell ref="B12:C12"/>
    <mergeCell ref="B13:C13"/>
    <mergeCell ref="B63:N63"/>
    <mergeCell ref="B64:N64"/>
    <mergeCell ref="B65:N65"/>
    <mergeCell ref="B68:N68"/>
    <mergeCell ref="B69:N69"/>
    <mergeCell ref="B70:N70"/>
    <mergeCell ref="B71:N71"/>
    <mergeCell ref="B72:N72"/>
    <mergeCell ref="B73:N73"/>
    <mergeCell ref="B66:N66"/>
    <mergeCell ref="B83:N83"/>
    <mergeCell ref="B80:N80"/>
    <mergeCell ref="B81:N81"/>
    <mergeCell ref="B82:N82"/>
    <mergeCell ref="B74:N74"/>
    <mergeCell ref="B76:N76"/>
    <mergeCell ref="B77:N77"/>
    <mergeCell ref="B78:N78"/>
    <mergeCell ref="B79:N79"/>
  </mergeCells>
  <pageMargins left="0.39370078740157483" right="0.19685039370078741" top="0.19685039370078741" bottom="0.19685039370078741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0"/>
  <sheetViews>
    <sheetView topLeftCell="A91" workbookViewId="0">
      <selection activeCell="D102" sqref="D102"/>
    </sheetView>
  </sheetViews>
  <sheetFormatPr defaultRowHeight="12.75"/>
  <cols>
    <col min="1" max="1" width="4" style="43" customWidth="1"/>
    <col min="2" max="2" width="14.140625" style="43" customWidth="1"/>
    <col min="3" max="4" width="12.7109375" style="43" customWidth="1"/>
    <col min="5" max="5" width="15.28515625" style="43" customWidth="1"/>
    <col min="6" max="7" width="9.42578125" style="43" customWidth="1"/>
    <col min="8" max="9" width="10.28515625" style="43" customWidth="1"/>
    <col min="10" max="10" width="7.85546875" style="43" customWidth="1"/>
    <col min="11" max="12" width="8.85546875" style="43" customWidth="1"/>
    <col min="13" max="13" width="8" style="43" customWidth="1"/>
    <col min="14" max="14" width="9.140625" style="43" customWidth="1"/>
    <col min="15" max="16384" width="9.140625" style="43"/>
  </cols>
  <sheetData>
    <row r="1" spans="1:15">
      <c r="H1" s="69" t="s">
        <v>104</v>
      </c>
      <c r="I1" s="69"/>
      <c r="J1" s="53"/>
      <c r="K1" s="53"/>
      <c r="L1" s="53"/>
      <c r="M1" s="53"/>
      <c r="N1" s="53"/>
    </row>
    <row r="2" spans="1:15" ht="38.25">
      <c r="F2" s="87" t="s">
        <v>208</v>
      </c>
      <c r="G2" s="87" t="s">
        <v>209</v>
      </c>
      <c r="H2" s="68">
        <v>1300</v>
      </c>
      <c r="I2" s="128" t="s">
        <v>239</v>
      </c>
    </row>
    <row r="3" spans="1:15">
      <c r="A3" s="43">
        <v>1</v>
      </c>
      <c r="B3" s="30" t="s">
        <v>13</v>
      </c>
      <c r="C3" s="25" t="s">
        <v>14</v>
      </c>
      <c r="D3" s="26" t="s">
        <v>77</v>
      </c>
      <c r="E3" s="40" t="s">
        <v>182</v>
      </c>
      <c r="F3" s="86">
        <f>30+31+30+31+31+29+31+30+31+30</f>
        <v>304</v>
      </c>
      <c r="G3" s="86"/>
      <c r="H3" s="9">
        <f>H2/F14*F3</f>
        <v>137.06358381502889</v>
      </c>
      <c r="I3" s="9"/>
      <c r="K3" s="9"/>
      <c r="L3" s="9"/>
      <c r="M3" s="19"/>
      <c r="N3" s="9"/>
    </row>
    <row r="4" spans="1:15">
      <c r="A4" s="43">
        <f>A3+1</f>
        <v>2</v>
      </c>
      <c r="B4" s="30" t="s">
        <v>15</v>
      </c>
      <c r="C4" s="30" t="s">
        <v>16</v>
      </c>
      <c r="D4" s="33" t="s">
        <v>77</v>
      </c>
      <c r="E4" s="40" t="s">
        <v>182</v>
      </c>
      <c r="F4" s="86">
        <f>30+31+30+31+31+29+31+30+31+30</f>
        <v>304</v>
      </c>
      <c r="G4" s="86"/>
      <c r="H4" s="9">
        <f>H2/F14*F4</f>
        <v>137.06358381502889</v>
      </c>
      <c r="I4" s="9">
        <f>H4/304*50</f>
        <v>22.543352601156066</v>
      </c>
      <c r="K4" s="9"/>
      <c r="L4" s="9"/>
      <c r="M4" s="19"/>
      <c r="N4" s="9"/>
    </row>
    <row r="5" spans="1:15">
      <c r="A5" s="43">
        <f t="shared" ref="A5:A13" si="0">A4+1</f>
        <v>3</v>
      </c>
      <c r="B5" s="30" t="s">
        <v>17</v>
      </c>
      <c r="C5" s="30" t="s">
        <v>18</v>
      </c>
      <c r="D5" s="33" t="s">
        <v>77</v>
      </c>
      <c r="E5" s="40" t="s">
        <v>182</v>
      </c>
      <c r="F5" s="86">
        <f>(30+31+30+31+31+29+31+30+31+30)/36*30</f>
        <v>253.33333333333334</v>
      </c>
      <c r="G5" s="86"/>
      <c r="H5" s="9">
        <f>H2/F14*F5</f>
        <v>114.21965317919076</v>
      </c>
      <c r="I5" s="129">
        <f>H5/F5*75</f>
        <v>33.815028901734102</v>
      </c>
      <c r="K5" s="9"/>
      <c r="L5" s="9"/>
      <c r="M5" s="19"/>
      <c r="N5" s="9"/>
      <c r="O5" s="43" t="s">
        <v>192</v>
      </c>
    </row>
    <row r="6" spans="1:15">
      <c r="A6" s="43">
        <f t="shared" si="0"/>
        <v>4</v>
      </c>
      <c r="B6" s="30" t="s">
        <v>19</v>
      </c>
      <c r="C6" s="30" t="s">
        <v>20</v>
      </c>
      <c r="D6" s="33" t="s">
        <v>77</v>
      </c>
      <c r="E6" s="40" t="s">
        <v>182</v>
      </c>
      <c r="F6" s="86">
        <f t="shared" ref="F6:F12" si="1">30+31+30+31+31+29+31+30+31+30</f>
        <v>304</v>
      </c>
      <c r="G6" s="86"/>
      <c r="H6" s="9">
        <v>137.06</v>
      </c>
      <c r="I6" s="129"/>
      <c r="K6" s="9"/>
      <c r="L6" s="9"/>
      <c r="M6" s="19"/>
      <c r="N6" s="9"/>
    </row>
    <row r="7" spans="1:15">
      <c r="A7" s="43">
        <f t="shared" si="0"/>
        <v>5</v>
      </c>
      <c r="B7" s="30" t="s">
        <v>102</v>
      </c>
      <c r="C7" s="30" t="s">
        <v>22</v>
      </c>
      <c r="D7" s="33" t="s">
        <v>77</v>
      </c>
      <c r="E7" s="40" t="s">
        <v>182</v>
      </c>
      <c r="F7" s="86">
        <f t="shared" si="1"/>
        <v>304</v>
      </c>
      <c r="G7" s="86"/>
      <c r="H7" s="9">
        <v>137.06</v>
      </c>
      <c r="I7" s="129"/>
      <c r="K7" s="9"/>
      <c r="L7" s="9"/>
      <c r="M7" s="19"/>
      <c r="N7" s="9"/>
    </row>
    <row r="8" spans="1:15">
      <c r="A8" s="43">
        <f t="shared" si="0"/>
        <v>6</v>
      </c>
      <c r="B8" s="30" t="s">
        <v>83</v>
      </c>
      <c r="C8" s="30" t="s">
        <v>84</v>
      </c>
      <c r="D8" s="33" t="s">
        <v>77</v>
      </c>
      <c r="E8" s="40" t="s">
        <v>182</v>
      </c>
      <c r="F8" s="86">
        <f t="shared" si="1"/>
        <v>304</v>
      </c>
      <c r="G8" s="86"/>
      <c r="H8" s="9">
        <v>137.06</v>
      </c>
      <c r="I8" s="129"/>
      <c r="K8" s="9"/>
      <c r="L8" s="9"/>
      <c r="M8" s="19"/>
      <c r="N8" s="9"/>
    </row>
    <row r="9" spans="1:15">
      <c r="A9" s="43">
        <f t="shared" si="0"/>
        <v>7</v>
      </c>
      <c r="B9" s="30" t="s">
        <v>146</v>
      </c>
      <c r="C9" s="30" t="s">
        <v>147</v>
      </c>
      <c r="D9" s="33" t="s">
        <v>77</v>
      </c>
      <c r="E9" s="40" t="s">
        <v>181</v>
      </c>
      <c r="F9" s="86">
        <f>31+30+31+31+29+31+30+31+30</f>
        <v>274</v>
      </c>
      <c r="G9" s="86"/>
      <c r="H9" s="9">
        <f>H2/F14*F9</f>
        <v>123.53757225433526</v>
      </c>
      <c r="I9" s="129"/>
      <c r="K9" s="9"/>
      <c r="L9" s="9"/>
      <c r="M9" s="19"/>
      <c r="N9" s="9"/>
    </row>
    <row r="10" spans="1:15">
      <c r="A10" s="43">
        <f t="shared" si="0"/>
        <v>8</v>
      </c>
      <c r="B10" s="30" t="s">
        <v>23</v>
      </c>
      <c r="C10" s="30" t="s">
        <v>24</v>
      </c>
      <c r="D10" s="33" t="s">
        <v>79</v>
      </c>
      <c r="E10" s="40" t="s">
        <v>182</v>
      </c>
      <c r="F10" s="86">
        <f>(30+31+30+31+31+29+31+30+31+30)/36*27</f>
        <v>228</v>
      </c>
      <c r="G10" s="86"/>
      <c r="H10" s="9">
        <f>H2/F14*F10</f>
        <v>102.79768786127167</v>
      </c>
      <c r="I10" s="129">
        <f>H10/F10*29</f>
        <v>13.075144508670519</v>
      </c>
      <c r="K10" s="9"/>
      <c r="L10" s="9"/>
      <c r="M10" s="19"/>
      <c r="N10" s="9"/>
      <c r="O10" s="43" t="s">
        <v>191</v>
      </c>
    </row>
    <row r="11" spans="1:15">
      <c r="A11" s="43">
        <f t="shared" si="0"/>
        <v>9</v>
      </c>
      <c r="B11" s="30" t="s">
        <v>25</v>
      </c>
      <c r="C11" s="25" t="s">
        <v>26</v>
      </c>
      <c r="D11" s="26" t="s">
        <v>77</v>
      </c>
      <c r="E11" s="40" t="s">
        <v>182</v>
      </c>
      <c r="F11" s="86">
        <f>(30+31+30+31+31+29+31+30+31+30)/2</f>
        <v>152</v>
      </c>
      <c r="G11" s="86"/>
      <c r="H11" s="9">
        <f>H2/F14*F11</f>
        <v>68.531791907514446</v>
      </c>
      <c r="I11" s="129"/>
      <c r="K11" s="9"/>
      <c r="L11" s="9"/>
      <c r="M11" s="19"/>
      <c r="N11" s="9"/>
      <c r="O11" s="43" t="s">
        <v>190</v>
      </c>
    </row>
    <row r="12" spans="1:15">
      <c r="A12" s="43">
        <f t="shared" si="0"/>
        <v>10</v>
      </c>
      <c r="B12" s="30" t="s">
        <v>27</v>
      </c>
      <c r="C12" s="25" t="s">
        <v>28</v>
      </c>
      <c r="D12" s="26" t="s">
        <v>77</v>
      </c>
      <c r="E12" s="40" t="s">
        <v>182</v>
      </c>
      <c r="F12" s="86">
        <f t="shared" si="1"/>
        <v>304</v>
      </c>
      <c r="G12" s="86"/>
      <c r="H12" s="9">
        <v>137.06</v>
      </c>
      <c r="I12" s="129">
        <f>H12/F12*93</f>
        <v>41.929539473684216</v>
      </c>
      <c r="K12" s="9"/>
      <c r="L12" s="9"/>
      <c r="M12" s="19"/>
      <c r="N12" s="9"/>
    </row>
    <row r="13" spans="1:15">
      <c r="A13" s="43">
        <f t="shared" si="0"/>
        <v>11</v>
      </c>
      <c r="B13" s="48" t="s">
        <v>101</v>
      </c>
      <c r="C13" s="48" t="s">
        <v>100</v>
      </c>
      <c r="D13" s="64" t="s">
        <v>77</v>
      </c>
      <c r="E13" s="40" t="s">
        <v>182</v>
      </c>
      <c r="F13" s="86">
        <f>(30+31+30+31+31+29+31+30+31+30)/2</f>
        <v>152</v>
      </c>
      <c r="G13" s="86"/>
      <c r="H13" s="9">
        <f>H2/F14*F13</f>
        <v>68.531791907514446</v>
      </c>
      <c r="I13" s="130"/>
      <c r="K13" s="63"/>
      <c r="L13" s="63"/>
      <c r="M13" s="63"/>
      <c r="N13" s="63"/>
      <c r="O13" s="43" t="s">
        <v>190</v>
      </c>
    </row>
    <row r="14" spans="1:15">
      <c r="F14" s="85">
        <f>SUM(F3:F13)</f>
        <v>2883.3333333333335</v>
      </c>
      <c r="G14" s="85"/>
      <c r="H14" s="67">
        <f>SUM(H3:H13)</f>
        <v>1299.985664739884</v>
      </c>
      <c r="I14" s="67">
        <f>SUM(I3:I13)</f>
        <v>111.3630654852449</v>
      </c>
    </row>
    <row r="16" spans="1:15">
      <c r="H16" s="69" t="s">
        <v>104</v>
      </c>
      <c r="K16" s="69" t="s">
        <v>111</v>
      </c>
    </row>
    <row r="17" spans="1:16" ht="38.25" customHeight="1">
      <c r="F17" s="87" t="s">
        <v>208</v>
      </c>
      <c r="G17" s="88" t="s">
        <v>209</v>
      </c>
      <c r="H17" s="89">
        <v>748.41</v>
      </c>
      <c r="I17" s="128" t="s">
        <v>239</v>
      </c>
      <c r="J17" s="87" t="s">
        <v>208</v>
      </c>
      <c r="K17" s="68">
        <v>1842.13</v>
      </c>
    </row>
    <row r="18" spans="1:16">
      <c r="A18" s="43">
        <v>1</v>
      </c>
      <c r="B18" s="28" t="s">
        <v>29</v>
      </c>
      <c r="C18" s="28" t="s">
        <v>30</v>
      </c>
      <c r="D18" s="26" t="s">
        <v>72</v>
      </c>
      <c r="E18" s="40" t="s">
        <v>182</v>
      </c>
      <c r="F18" s="86">
        <f>30+31+30+31+31+29+31+30+31+30</f>
        <v>304</v>
      </c>
      <c r="G18" s="90">
        <f>30+31+30+31+31+22</f>
        <v>175</v>
      </c>
      <c r="H18" s="94">
        <f>$H$17/$G$29*G18</f>
        <v>71.8046875</v>
      </c>
      <c r="I18" s="63"/>
      <c r="J18" s="86">
        <f>30+31+30+31+31+29+31+30+31+30</f>
        <v>304</v>
      </c>
      <c r="K18" s="9">
        <f>$K$17/$J$29*J18</f>
        <v>251.80194244604317</v>
      </c>
      <c r="L18" s="9"/>
      <c r="M18" s="19"/>
      <c r="N18" s="9"/>
    </row>
    <row r="19" spans="1:16">
      <c r="A19" s="43">
        <f>A18+1</f>
        <v>2</v>
      </c>
      <c r="B19" s="30" t="s">
        <v>32</v>
      </c>
      <c r="C19" s="25" t="s">
        <v>33</v>
      </c>
      <c r="D19" s="26" t="s">
        <v>76</v>
      </c>
      <c r="E19" s="40" t="s">
        <v>182</v>
      </c>
      <c r="F19" s="86">
        <f>30+31+30+31+31+29+31+30+31+30</f>
        <v>304</v>
      </c>
      <c r="G19" s="90">
        <f>30+31+30+31+31+22</f>
        <v>175</v>
      </c>
      <c r="H19" s="94">
        <f t="shared" ref="H19:H28" si="2">$H$17/$G$29*G19</f>
        <v>71.8046875</v>
      </c>
      <c r="I19" s="63"/>
      <c r="J19" s="86"/>
      <c r="K19" s="9"/>
      <c r="L19" s="42"/>
      <c r="M19" s="41"/>
      <c r="N19" s="42"/>
    </row>
    <row r="20" spans="1:16">
      <c r="A20" s="43">
        <f t="shared" ref="A20:A28" si="3">A19+1</f>
        <v>3</v>
      </c>
      <c r="B20" s="30" t="s">
        <v>148</v>
      </c>
      <c r="C20" s="30" t="s">
        <v>149</v>
      </c>
      <c r="D20" s="26" t="s">
        <v>80</v>
      </c>
      <c r="E20" s="40" t="s">
        <v>185</v>
      </c>
      <c r="F20" s="86">
        <f>8+31+30+31+31+29+31+30+31+30</f>
        <v>282</v>
      </c>
      <c r="G20" s="90">
        <f>8+31+30+31+31+22</f>
        <v>153</v>
      </c>
      <c r="H20" s="94">
        <f t="shared" si="2"/>
        <v>62.777812499999996</v>
      </c>
      <c r="I20" s="63"/>
      <c r="J20" s="86"/>
      <c r="K20" s="9"/>
      <c r="L20" s="9"/>
      <c r="M20" s="19"/>
      <c r="N20" s="9"/>
    </row>
    <row r="21" spans="1:16">
      <c r="A21" s="43">
        <f t="shared" si="3"/>
        <v>4</v>
      </c>
      <c r="B21" s="30" t="s">
        <v>150</v>
      </c>
      <c r="C21" s="30" t="s">
        <v>151</v>
      </c>
      <c r="D21" s="33" t="s">
        <v>207</v>
      </c>
      <c r="E21" s="40" t="s">
        <v>185</v>
      </c>
      <c r="F21" s="86">
        <f>8+31+30+31+31+29+31+30+31+30</f>
        <v>282</v>
      </c>
      <c r="G21" s="90">
        <f>8+31+30+31+31+22</f>
        <v>153</v>
      </c>
      <c r="H21" s="94">
        <f t="shared" si="2"/>
        <v>62.777812499999996</v>
      </c>
      <c r="I21" s="63"/>
      <c r="J21" s="86">
        <f>8+31+30+31+31+29+31+30+31+30</f>
        <v>282</v>
      </c>
      <c r="K21" s="9">
        <f>$K$17/$J$29*J21</f>
        <v>233.57943345323741</v>
      </c>
      <c r="L21" s="9"/>
      <c r="M21" s="19"/>
      <c r="N21" s="9"/>
    </row>
    <row r="22" spans="1:16">
      <c r="A22" s="43">
        <f t="shared" si="3"/>
        <v>5</v>
      </c>
      <c r="B22" s="30" t="s">
        <v>34</v>
      </c>
      <c r="C22" s="30" t="s">
        <v>35</v>
      </c>
      <c r="D22" s="33" t="s">
        <v>76</v>
      </c>
      <c r="E22" s="40" t="s">
        <v>182</v>
      </c>
      <c r="F22" s="86">
        <f>30+31+30+31+31+29+31+30+31+30</f>
        <v>304</v>
      </c>
      <c r="G22" s="90">
        <f>30+31+30+31+31+22</f>
        <v>175</v>
      </c>
      <c r="H22" s="94">
        <f t="shared" si="2"/>
        <v>71.8046875</v>
      </c>
      <c r="I22" s="63"/>
      <c r="J22" s="86">
        <f>30+31+30+31+31+29+31+30+31+30</f>
        <v>304</v>
      </c>
      <c r="K22" s="9">
        <f>$K$17/$J$29*J22</f>
        <v>251.80194244604317</v>
      </c>
      <c r="L22" s="9"/>
      <c r="M22" s="19"/>
      <c r="N22" s="9"/>
    </row>
    <row r="23" spans="1:16">
      <c r="A23" s="43">
        <f t="shared" si="3"/>
        <v>6</v>
      </c>
      <c r="B23" s="30" t="s">
        <v>184</v>
      </c>
      <c r="C23" s="81" t="s">
        <v>43</v>
      </c>
      <c r="D23" s="26" t="s">
        <v>78</v>
      </c>
      <c r="E23" s="40" t="s">
        <v>182</v>
      </c>
      <c r="F23" s="86">
        <f>30+31+30+31+31+29+31+30+31+30</f>
        <v>304</v>
      </c>
      <c r="G23" s="90">
        <f>30+31+30+31+31+22</f>
        <v>175</v>
      </c>
      <c r="H23" s="94">
        <f t="shared" si="2"/>
        <v>71.8046875</v>
      </c>
      <c r="I23" s="63"/>
      <c r="J23" s="86">
        <f>30+31+30+31+31+29+31+30+31+30</f>
        <v>304</v>
      </c>
      <c r="K23" s="9">
        <f>$K$17/$J$29*J23</f>
        <v>251.80194244604317</v>
      </c>
      <c r="L23" s="9"/>
      <c r="M23" s="19"/>
      <c r="N23" s="9"/>
    </row>
    <row r="24" spans="1:16">
      <c r="A24" s="43">
        <f t="shared" si="3"/>
        <v>7</v>
      </c>
      <c r="B24" s="30" t="s">
        <v>152</v>
      </c>
      <c r="C24" s="81" t="s">
        <v>153</v>
      </c>
      <c r="D24" s="33" t="s">
        <v>75</v>
      </c>
      <c r="E24" s="40" t="s">
        <v>182</v>
      </c>
      <c r="F24" s="86">
        <f>30+31+30+31+31+29+31+30+31+30</f>
        <v>304</v>
      </c>
      <c r="G24" s="90">
        <f>30+31+30+31+31+22</f>
        <v>175</v>
      </c>
      <c r="H24" s="94">
        <f t="shared" si="2"/>
        <v>71.8046875</v>
      </c>
      <c r="I24" s="63"/>
      <c r="J24" s="86">
        <f>30+31+30+31+31+29+31+30+31+30</f>
        <v>304</v>
      </c>
      <c r="K24" s="9">
        <f>$K$17/$J$29*J24</f>
        <v>251.80194244604317</v>
      </c>
      <c r="L24" s="9"/>
      <c r="M24" s="19"/>
      <c r="N24" s="9"/>
    </row>
    <row r="25" spans="1:16">
      <c r="A25" s="43">
        <f t="shared" si="3"/>
        <v>8</v>
      </c>
      <c r="B25" s="30" t="s">
        <v>183</v>
      </c>
      <c r="C25" s="80" t="s">
        <v>155</v>
      </c>
      <c r="D25" s="26" t="s">
        <v>76</v>
      </c>
      <c r="E25" s="40" t="s">
        <v>186</v>
      </c>
      <c r="F25" s="86">
        <f>8+31+30+31+18</f>
        <v>118</v>
      </c>
      <c r="G25" s="91">
        <f>8+31+30+31+18</f>
        <v>118</v>
      </c>
      <c r="H25" s="94">
        <f t="shared" si="2"/>
        <v>48.416874999999997</v>
      </c>
      <c r="I25" s="63"/>
      <c r="J25" s="86">
        <f>8+31+30+31+18</f>
        <v>118</v>
      </c>
      <c r="K25" s="9">
        <f>$K$17/$J$29*J25</f>
        <v>97.7389118705036</v>
      </c>
      <c r="L25" s="9"/>
      <c r="M25" s="19"/>
      <c r="N25" s="9"/>
    </row>
    <row r="26" spans="1:16">
      <c r="A26" s="43">
        <f t="shared" si="3"/>
        <v>9</v>
      </c>
      <c r="B26" s="30" t="s">
        <v>36</v>
      </c>
      <c r="C26" s="81" t="s">
        <v>37</v>
      </c>
      <c r="D26" s="26" t="s">
        <v>76</v>
      </c>
      <c r="E26" s="40" t="s">
        <v>182</v>
      </c>
      <c r="F26" s="86">
        <f>30+31+30+31+31+29+31+30+31+30</f>
        <v>304</v>
      </c>
      <c r="G26" s="90">
        <f>30+31+30+31+31+22</f>
        <v>175</v>
      </c>
      <c r="H26" s="94">
        <f t="shared" si="2"/>
        <v>71.8046875</v>
      </c>
      <c r="I26" s="130">
        <f>H26/G26*143</f>
        <v>58.674687500000005</v>
      </c>
      <c r="J26" s="86"/>
      <c r="K26" s="9"/>
      <c r="L26" s="9"/>
      <c r="M26" s="19"/>
      <c r="N26" s="9"/>
    </row>
    <row r="27" spans="1:16">
      <c r="A27" s="43">
        <f t="shared" si="3"/>
        <v>10</v>
      </c>
      <c r="B27" s="29" t="s">
        <v>38</v>
      </c>
      <c r="C27" s="29" t="s">
        <v>33</v>
      </c>
      <c r="D27" s="26" t="s">
        <v>76</v>
      </c>
      <c r="E27" s="40" t="s">
        <v>182</v>
      </c>
      <c r="F27" s="86">
        <f>30+31+30+31+31+29+31+30+31+30</f>
        <v>304</v>
      </c>
      <c r="G27" s="90">
        <f>30+31+30+31+31+22</f>
        <v>175</v>
      </c>
      <c r="H27" s="94">
        <f t="shared" si="2"/>
        <v>71.8046875</v>
      </c>
      <c r="I27" s="63"/>
      <c r="J27" s="86">
        <f>30+31+30+31+31+29+31+30+31+30</f>
        <v>304</v>
      </c>
      <c r="K27" s="9">
        <f>$K$17/$J$29*J27</f>
        <v>251.80194244604317</v>
      </c>
      <c r="L27" s="9"/>
      <c r="M27" s="19"/>
      <c r="N27" s="9"/>
    </row>
    <row r="28" spans="1:16">
      <c r="A28" s="43">
        <f t="shared" si="3"/>
        <v>11</v>
      </c>
      <c r="B28" s="48" t="s">
        <v>58</v>
      </c>
      <c r="C28" s="48" t="s">
        <v>35</v>
      </c>
      <c r="D28" s="33" t="s">
        <v>76</v>
      </c>
      <c r="E28" s="40" t="s">
        <v>182</v>
      </c>
      <c r="F28" s="86">
        <f>30+31+30+31+31+29+31+30+31+30</f>
        <v>304</v>
      </c>
      <c r="G28" s="90">
        <f>30+31+30+31+31+22</f>
        <v>175</v>
      </c>
      <c r="H28" s="94">
        <f t="shared" si="2"/>
        <v>71.8046875</v>
      </c>
      <c r="I28" s="63"/>
      <c r="J28" s="86">
        <f>30+31+30+31+31+29+31+30+31+30</f>
        <v>304</v>
      </c>
      <c r="K28" s="9">
        <f>$K$17/$J$29*J28</f>
        <v>251.80194244604317</v>
      </c>
      <c r="L28" s="9"/>
      <c r="M28" s="19"/>
      <c r="N28" s="9"/>
    </row>
    <row r="29" spans="1:16">
      <c r="F29" s="85">
        <f>SUM(F18:F28)</f>
        <v>3114</v>
      </c>
      <c r="G29" s="92">
        <f>SUM(G18:G28)</f>
        <v>1824</v>
      </c>
      <c r="H29" s="93">
        <f>SUM(H18:H28)</f>
        <v>748.41</v>
      </c>
      <c r="J29" s="85">
        <f>SUM(J18:J28)</f>
        <v>2224</v>
      </c>
      <c r="K29" s="67">
        <f>SUM(K18:K28)</f>
        <v>1842.1299999999999</v>
      </c>
    </row>
    <row r="31" spans="1:16">
      <c r="G31" s="95"/>
      <c r="H31" s="96" t="s">
        <v>104</v>
      </c>
      <c r="I31" s="71"/>
      <c r="J31" s="71" t="s">
        <v>109</v>
      </c>
      <c r="K31" s="100" t="s">
        <v>110</v>
      </c>
      <c r="L31" s="84" t="s">
        <v>111</v>
      </c>
      <c r="M31" s="84" t="s">
        <v>112</v>
      </c>
      <c r="N31" s="84" t="s">
        <v>105</v>
      </c>
      <c r="O31" s="84" t="s">
        <v>210</v>
      </c>
    </row>
    <row r="32" spans="1:16" ht="38.25">
      <c r="F32" s="87" t="s">
        <v>208</v>
      </c>
      <c r="G32" s="88" t="s">
        <v>240</v>
      </c>
      <c r="H32" s="97">
        <v>1151.4000000000001</v>
      </c>
      <c r="I32" s="128" t="s">
        <v>239</v>
      </c>
      <c r="J32" s="70">
        <v>2500</v>
      </c>
      <c r="K32" s="97">
        <v>287.85000000000002</v>
      </c>
      <c r="L32" s="97">
        <v>1086.71</v>
      </c>
      <c r="M32" s="97">
        <v>201.5</v>
      </c>
      <c r="N32" s="101">
        <v>287.85000000000002</v>
      </c>
      <c r="O32" s="94">
        <v>287.85000000000002</v>
      </c>
      <c r="P32" s="53">
        <f>SUM(I32:O32)</f>
        <v>4651.76</v>
      </c>
    </row>
    <row r="33" spans="1:16">
      <c r="A33" s="43">
        <v>1</v>
      </c>
      <c r="B33" s="72" t="s">
        <v>39</v>
      </c>
      <c r="C33" s="72" t="s">
        <v>31</v>
      </c>
      <c r="D33" s="74" t="s">
        <v>67</v>
      </c>
      <c r="E33" s="40" t="s">
        <v>182</v>
      </c>
      <c r="F33" s="86">
        <f>(30+31+30+31+31+29+31+30+31+30)/2</f>
        <v>152</v>
      </c>
      <c r="G33" s="91">
        <f>(30+31+30+31+31+22)/2</f>
        <v>87.5</v>
      </c>
      <c r="H33" s="99">
        <f t="shared" ref="H33:H57" si="4">$H$32/$G$58*G33</f>
        <v>27.08751568381431</v>
      </c>
      <c r="I33" s="9"/>
      <c r="J33" s="9"/>
      <c r="K33" s="99"/>
      <c r="L33" s="99"/>
      <c r="M33" s="99"/>
      <c r="N33" s="98"/>
      <c r="O33" s="99"/>
      <c r="P33" s="43" t="s">
        <v>190</v>
      </c>
    </row>
    <row r="34" spans="1:16">
      <c r="A34" s="43">
        <f>A33+1</f>
        <v>2</v>
      </c>
      <c r="B34" s="25" t="s">
        <v>158</v>
      </c>
      <c r="C34" s="25" t="s">
        <v>159</v>
      </c>
      <c r="D34" s="33" t="s">
        <v>67</v>
      </c>
      <c r="E34" s="40" t="s">
        <v>187</v>
      </c>
      <c r="F34" s="86">
        <f>7+31+30+31+31+29+31+30+31+30</f>
        <v>281</v>
      </c>
      <c r="G34" s="91">
        <f>7+31+30+31+31+22</f>
        <v>152</v>
      </c>
      <c r="H34" s="99">
        <f t="shared" si="4"/>
        <v>47.054884387883142</v>
      </c>
      <c r="I34" s="9"/>
      <c r="J34" s="9"/>
      <c r="K34" s="99"/>
      <c r="L34" s="99"/>
      <c r="M34" s="99"/>
      <c r="N34" s="98"/>
      <c r="O34" s="99"/>
    </row>
    <row r="35" spans="1:16">
      <c r="A35" s="43">
        <f t="shared" ref="A35:A57" si="5">A34+1</f>
        <v>3</v>
      </c>
      <c r="B35" s="25" t="s">
        <v>160</v>
      </c>
      <c r="C35" s="25" t="s">
        <v>157</v>
      </c>
      <c r="D35" s="26" t="s">
        <v>67</v>
      </c>
      <c r="E35" s="40" t="s">
        <v>188</v>
      </c>
      <c r="F35" s="86">
        <f>21+30+31+31+29+31+30+31+30</f>
        <v>264</v>
      </c>
      <c r="G35" s="91">
        <f>21+30+31+31+22</f>
        <v>135</v>
      </c>
      <c r="H35" s="99">
        <f t="shared" si="4"/>
        <v>41.79216705502779</v>
      </c>
      <c r="I35" s="9"/>
      <c r="J35" s="9"/>
      <c r="K35" s="99"/>
      <c r="L35" s="99"/>
      <c r="M35" s="99"/>
      <c r="N35" s="98"/>
      <c r="O35" s="99"/>
    </row>
    <row r="36" spans="1:16" ht="24">
      <c r="A36" s="43">
        <f t="shared" si="5"/>
        <v>4</v>
      </c>
      <c r="B36" s="27" t="s">
        <v>40</v>
      </c>
      <c r="C36" s="25" t="s">
        <v>41</v>
      </c>
      <c r="D36" s="26" t="s">
        <v>67</v>
      </c>
      <c r="E36" s="40" t="s">
        <v>182</v>
      </c>
      <c r="F36" s="86">
        <f t="shared" ref="F36:F57" si="6">30+31+30+31+31+29+31+30+31+30</f>
        <v>304</v>
      </c>
      <c r="G36" s="91">
        <f>30+31+30+31+31+22</f>
        <v>175</v>
      </c>
      <c r="H36" s="99">
        <f t="shared" si="4"/>
        <v>54.17503136762862</v>
      </c>
      <c r="I36" s="9">
        <f>H36/G36*assenze!H9</f>
        <v>11.144577881340744</v>
      </c>
      <c r="J36" s="9"/>
      <c r="K36" s="99"/>
      <c r="L36" s="99"/>
      <c r="M36" s="99"/>
      <c r="N36" s="98"/>
      <c r="O36" s="99"/>
    </row>
    <row r="37" spans="1:16">
      <c r="A37" s="43">
        <f t="shared" si="5"/>
        <v>5</v>
      </c>
      <c r="B37" s="30" t="s">
        <v>161</v>
      </c>
      <c r="C37" s="25" t="s">
        <v>22</v>
      </c>
      <c r="D37" s="26" t="s">
        <v>67</v>
      </c>
      <c r="E37" s="40" t="s">
        <v>182</v>
      </c>
      <c r="F37" s="86">
        <f t="shared" si="6"/>
        <v>304</v>
      </c>
      <c r="G37" s="91">
        <f>30+31+30+31+31+22</f>
        <v>175</v>
      </c>
      <c r="H37" s="99">
        <f t="shared" si="4"/>
        <v>54.17503136762862</v>
      </c>
      <c r="I37" s="9"/>
      <c r="J37" s="9"/>
      <c r="K37" s="99"/>
      <c r="L37" s="99"/>
      <c r="M37" s="99"/>
      <c r="N37" s="98"/>
      <c r="O37" s="99"/>
    </row>
    <row r="38" spans="1:16">
      <c r="A38" s="43">
        <f t="shared" si="5"/>
        <v>6</v>
      </c>
      <c r="B38" s="30" t="s">
        <v>162</v>
      </c>
      <c r="C38" s="25" t="s">
        <v>163</v>
      </c>
      <c r="D38" s="26" t="s">
        <v>67</v>
      </c>
      <c r="E38" s="40" t="s">
        <v>185</v>
      </c>
      <c r="F38" s="86">
        <f>(8+31+30+31+31+29+31+30+31+30)/36*6</f>
        <v>47</v>
      </c>
      <c r="G38" s="91">
        <f>(8+31+30+31+31+22)/36*6</f>
        <v>25.5</v>
      </c>
      <c r="H38" s="99">
        <f t="shared" si="4"/>
        <v>7.8940759992830278</v>
      </c>
      <c r="I38" s="9"/>
      <c r="J38" s="9"/>
      <c r="K38" s="99"/>
      <c r="L38" s="99"/>
      <c r="M38" s="99"/>
      <c r="N38" s="98"/>
      <c r="O38" s="99"/>
      <c r="P38" s="43" t="s">
        <v>189</v>
      </c>
    </row>
    <row r="39" spans="1:16">
      <c r="A39" s="43">
        <f t="shared" si="5"/>
        <v>7</v>
      </c>
      <c r="B39" s="30" t="s">
        <v>42</v>
      </c>
      <c r="C39" s="25" t="s">
        <v>43</v>
      </c>
      <c r="D39" s="26" t="s">
        <v>89</v>
      </c>
      <c r="E39" s="40" t="s">
        <v>182</v>
      </c>
      <c r="F39" s="86">
        <f t="shared" si="6"/>
        <v>304</v>
      </c>
      <c r="G39" s="91">
        <f>30+31+30+31+31+22</f>
        <v>175</v>
      </c>
      <c r="H39" s="99">
        <f t="shared" si="4"/>
        <v>54.17503136762862</v>
      </c>
      <c r="I39" s="9"/>
      <c r="J39" s="9">
        <v>250</v>
      </c>
      <c r="K39" s="99"/>
      <c r="L39" s="99"/>
      <c r="M39" s="99"/>
      <c r="N39" s="98"/>
      <c r="O39" s="99"/>
    </row>
    <row r="40" spans="1:16">
      <c r="A40" s="43">
        <f t="shared" si="5"/>
        <v>8</v>
      </c>
      <c r="B40" s="30" t="s">
        <v>164</v>
      </c>
      <c r="C40" s="30" t="s">
        <v>165</v>
      </c>
      <c r="D40" s="33" t="s">
        <v>89</v>
      </c>
      <c r="E40" s="40" t="s">
        <v>185</v>
      </c>
      <c r="F40" s="86">
        <f>8+31+30+31+31+29+31+30+31+30</f>
        <v>282</v>
      </c>
      <c r="G40" s="91">
        <f>8+31+30+31+31+22</f>
        <v>153</v>
      </c>
      <c r="H40" s="99">
        <f t="shared" si="4"/>
        <v>47.364455995698165</v>
      </c>
      <c r="I40" s="9"/>
      <c r="J40" s="9"/>
      <c r="K40" s="99"/>
      <c r="L40" s="99"/>
      <c r="M40" s="99"/>
      <c r="N40" s="98"/>
      <c r="O40" s="99"/>
    </row>
    <row r="41" spans="1:16">
      <c r="A41" s="43">
        <f t="shared" si="5"/>
        <v>9</v>
      </c>
      <c r="B41" s="30" t="s">
        <v>166</v>
      </c>
      <c r="C41" s="30" t="s">
        <v>43</v>
      </c>
      <c r="D41" s="33" t="s">
        <v>89</v>
      </c>
      <c r="E41" s="40" t="s">
        <v>185</v>
      </c>
      <c r="F41" s="86">
        <f>8+31+30+31+31+29+31+30+31+30</f>
        <v>282</v>
      </c>
      <c r="G41" s="91">
        <f>8+31+30+31+31+22</f>
        <v>153</v>
      </c>
      <c r="H41" s="99">
        <f t="shared" si="4"/>
        <v>47.364455995698165</v>
      </c>
      <c r="I41" s="9"/>
      <c r="J41" s="9"/>
      <c r="K41" s="99"/>
      <c r="L41" s="99"/>
      <c r="M41" s="99"/>
      <c r="N41" s="98"/>
      <c r="O41" s="99"/>
    </row>
    <row r="42" spans="1:16">
      <c r="A42" s="43">
        <f t="shared" si="5"/>
        <v>10</v>
      </c>
      <c r="B42" s="30" t="s">
        <v>167</v>
      </c>
      <c r="C42" s="25" t="s">
        <v>168</v>
      </c>
      <c r="D42" s="33" t="s">
        <v>89</v>
      </c>
      <c r="E42" s="40" t="s">
        <v>193</v>
      </c>
      <c r="F42" s="86">
        <f>27+30+31+31+29+31+8</f>
        <v>187</v>
      </c>
      <c r="G42" s="91">
        <f>27+30+31+31+22</f>
        <v>141</v>
      </c>
      <c r="H42" s="99">
        <f t="shared" si="4"/>
        <v>43.649596701917915</v>
      </c>
      <c r="I42" s="9"/>
      <c r="J42" s="9"/>
      <c r="K42" s="99"/>
      <c r="L42" s="99"/>
      <c r="M42" s="99"/>
      <c r="N42" s="98"/>
      <c r="O42" s="99"/>
    </row>
    <row r="43" spans="1:16">
      <c r="A43" s="43">
        <f t="shared" si="5"/>
        <v>11</v>
      </c>
      <c r="B43" s="30" t="s">
        <v>90</v>
      </c>
      <c r="C43" s="25" t="s">
        <v>91</v>
      </c>
      <c r="D43" s="33" t="s">
        <v>89</v>
      </c>
      <c r="E43" s="40" t="s">
        <v>182</v>
      </c>
      <c r="F43" s="86">
        <f>(30+31+30+31+31+29+31+30+31+30)/36*30</f>
        <v>253.33333333333334</v>
      </c>
      <c r="G43" s="91">
        <f>(30+31+30+31+31+22)/36*30</f>
        <v>145.83333333333331</v>
      </c>
      <c r="H43" s="99">
        <f t="shared" si="4"/>
        <v>45.145859473023847</v>
      </c>
      <c r="I43" s="9"/>
      <c r="J43" s="9"/>
      <c r="K43" s="99"/>
      <c r="L43" s="99"/>
      <c r="M43" s="99"/>
      <c r="N43" s="98"/>
      <c r="O43" s="99"/>
      <c r="P43" s="43" t="s">
        <v>194</v>
      </c>
    </row>
    <row r="44" spans="1:16">
      <c r="A44" s="43">
        <f t="shared" si="5"/>
        <v>12</v>
      </c>
      <c r="B44" s="30" t="s">
        <v>45</v>
      </c>
      <c r="C44" s="30" t="s">
        <v>46</v>
      </c>
      <c r="D44" s="33" t="s">
        <v>89</v>
      </c>
      <c r="E44" s="40" t="s">
        <v>182</v>
      </c>
      <c r="F44" s="86">
        <f t="shared" si="6"/>
        <v>304</v>
      </c>
      <c r="G44" s="91">
        <f t="shared" ref="G44" si="7">30+31+30+31+31+22</f>
        <v>175</v>
      </c>
      <c r="H44" s="99">
        <f t="shared" si="4"/>
        <v>54.17503136762862</v>
      </c>
      <c r="I44" s="9"/>
      <c r="J44" s="9"/>
      <c r="K44" s="99"/>
      <c r="L44" s="99"/>
      <c r="M44" s="99"/>
      <c r="N44" s="98"/>
      <c r="O44" s="99"/>
    </row>
    <row r="45" spans="1:16">
      <c r="A45" s="43">
        <f t="shared" si="5"/>
        <v>13</v>
      </c>
      <c r="B45" s="30" t="s">
        <v>169</v>
      </c>
      <c r="C45" s="30" t="s">
        <v>170</v>
      </c>
      <c r="D45" s="33" t="s">
        <v>89</v>
      </c>
      <c r="E45" s="40" t="s">
        <v>195</v>
      </c>
      <c r="F45" s="86">
        <f>4+31+30+31+31+28</f>
        <v>155</v>
      </c>
      <c r="G45" s="91">
        <f>4+31+30+31+31+22</f>
        <v>149</v>
      </c>
      <c r="H45" s="99">
        <f t="shared" si="4"/>
        <v>46.126169564438079</v>
      </c>
      <c r="I45" s="9"/>
      <c r="J45" s="9"/>
      <c r="K45" s="99"/>
      <c r="L45" s="99"/>
      <c r="M45" s="99"/>
      <c r="N45" s="98"/>
      <c r="O45" s="99"/>
    </row>
    <row r="46" spans="1:16">
      <c r="A46" s="43">
        <f t="shared" si="5"/>
        <v>14</v>
      </c>
      <c r="B46" s="72" t="s">
        <v>47</v>
      </c>
      <c r="C46" s="72" t="s">
        <v>48</v>
      </c>
      <c r="D46" s="26" t="s">
        <v>67</v>
      </c>
      <c r="E46" s="40" t="s">
        <v>182</v>
      </c>
      <c r="F46" s="86">
        <f t="shared" si="6"/>
        <v>304</v>
      </c>
      <c r="G46" s="91">
        <f t="shared" ref="G46:G49" si="8">30+31+30+31+31+22</f>
        <v>175</v>
      </c>
      <c r="H46" s="99">
        <f t="shared" si="4"/>
        <v>54.17503136762862</v>
      </c>
      <c r="I46" s="9"/>
      <c r="J46" s="9">
        <v>1283.25</v>
      </c>
      <c r="K46" s="99"/>
      <c r="L46" s="99"/>
      <c r="M46" s="99"/>
      <c r="N46" s="98"/>
      <c r="O46" s="99"/>
    </row>
    <row r="47" spans="1:16">
      <c r="A47" s="43">
        <f t="shared" si="5"/>
        <v>15</v>
      </c>
      <c r="B47" s="29" t="s">
        <v>171</v>
      </c>
      <c r="C47" s="29" t="s">
        <v>172</v>
      </c>
      <c r="D47" s="26" t="s">
        <v>67</v>
      </c>
      <c r="E47" s="40" t="s">
        <v>182</v>
      </c>
      <c r="F47" s="86">
        <f t="shared" si="6"/>
        <v>304</v>
      </c>
      <c r="G47" s="91">
        <f t="shared" si="8"/>
        <v>175</v>
      </c>
      <c r="H47" s="99">
        <f t="shared" si="4"/>
        <v>54.17503136762862</v>
      </c>
      <c r="I47" s="9">
        <f>H47/G47*assenze!H31</f>
        <v>5.5722889406703722</v>
      </c>
      <c r="J47" s="9"/>
      <c r="K47" s="99"/>
      <c r="L47" s="99"/>
      <c r="M47" s="99"/>
      <c r="N47" s="98"/>
      <c r="O47" s="99"/>
    </row>
    <row r="48" spans="1:16">
      <c r="A48" s="43">
        <f t="shared" si="5"/>
        <v>16</v>
      </c>
      <c r="B48" s="30" t="s">
        <v>49</v>
      </c>
      <c r="C48" s="30" t="s">
        <v>50</v>
      </c>
      <c r="D48" s="26" t="s">
        <v>67</v>
      </c>
      <c r="E48" s="40" t="s">
        <v>182</v>
      </c>
      <c r="F48" s="86">
        <f t="shared" si="6"/>
        <v>304</v>
      </c>
      <c r="G48" s="91">
        <f t="shared" si="8"/>
        <v>175</v>
      </c>
      <c r="H48" s="99">
        <f t="shared" si="4"/>
        <v>54.17503136762862</v>
      </c>
      <c r="I48" s="9"/>
      <c r="J48" s="9"/>
      <c r="K48" s="99"/>
      <c r="L48" s="99"/>
      <c r="M48" s="99"/>
      <c r="N48" s="98"/>
      <c r="O48" s="99"/>
    </row>
    <row r="49" spans="1:16">
      <c r="A49" s="43">
        <f t="shared" si="5"/>
        <v>17</v>
      </c>
      <c r="B49" s="30" t="s">
        <v>173</v>
      </c>
      <c r="C49" s="30" t="s">
        <v>35</v>
      </c>
      <c r="D49" s="74" t="s">
        <v>67</v>
      </c>
      <c r="E49" s="40" t="s">
        <v>182</v>
      </c>
      <c r="F49" s="86">
        <f t="shared" si="6"/>
        <v>304</v>
      </c>
      <c r="G49" s="91">
        <f t="shared" si="8"/>
        <v>175</v>
      </c>
      <c r="H49" s="99">
        <f t="shared" si="4"/>
        <v>54.17503136762862</v>
      </c>
      <c r="I49" s="73"/>
      <c r="J49" s="73"/>
      <c r="K49" s="99"/>
      <c r="L49" s="99"/>
      <c r="M49" s="99"/>
      <c r="N49" s="98"/>
      <c r="O49" s="99"/>
    </row>
    <row r="50" spans="1:16">
      <c r="A50" s="43">
        <f t="shared" si="5"/>
        <v>18</v>
      </c>
      <c r="B50" s="30" t="s">
        <v>174</v>
      </c>
      <c r="C50" s="30" t="s">
        <v>175</v>
      </c>
      <c r="D50" s="26" t="s">
        <v>67</v>
      </c>
      <c r="E50" s="40" t="s">
        <v>196</v>
      </c>
      <c r="F50" s="86">
        <f>(6+31+30+31+31+29+31+30+31+30)/2</f>
        <v>140</v>
      </c>
      <c r="G50" s="91">
        <f>(6+31+30+31+31+22)/2</f>
        <v>75.5</v>
      </c>
      <c r="H50" s="99">
        <f t="shared" si="4"/>
        <v>23.372656390034063</v>
      </c>
      <c r="I50" s="9"/>
      <c r="J50" s="9"/>
      <c r="K50" s="99"/>
      <c r="L50" s="99"/>
      <c r="M50" s="99"/>
      <c r="N50" s="98"/>
      <c r="O50" s="99"/>
    </row>
    <row r="51" spans="1:16">
      <c r="A51" s="43">
        <f t="shared" si="5"/>
        <v>19</v>
      </c>
      <c r="B51" s="30" t="s">
        <v>176</v>
      </c>
      <c r="C51" s="30" t="s">
        <v>177</v>
      </c>
      <c r="D51" s="26" t="s">
        <v>67</v>
      </c>
      <c r="E51" s="40" t="s">
        <v>185</v>
      </c>
      <c r="F51" s="86">
        <f>8+31+30+31+31+29+31+30+31+30</f>
        <v>282</v>
      </c>
      <c r="G51" s="91">
        <f>8+31+30+31+31+22</f>
        <v>153</v>
      </c>
      <c r="H51" s="99">
        <f t="shared" si="4"/>
        <v>47.364455995698165</v>
      </c>
      <c r="I51" s="9"/>
      <c r="J51" s="9"/>
      <c r="K51" s="99"/>
      <c r="L51" s="99"/>
      <c r="M51" s="99"/>
      <c r="N51" s="98"/>
      <c r="O51" s="99"/>
    </row>
    <row r="52" spans="1:16">
      <c r="A52" s="43">
        <f t="shared" si="5"/>
        <v>20</v>
      </c>
      <c r="B52" s="72" t="s">
        <v>51</v>
      </c>
      <c r="C52" s="72" t="s">
        <v>52</v>
      </c>
      <c r="D52" s="26" t="s">
        <v>67</v>
      </c>
      <c r="E52" s="40" t="s">
        <v>182</v>
      </c>
      <c r="F52" s="86">
        <f>30+31+30+31+30+31</f>
        <v>183</v>
      </c>
      <c r="G52" s="91">
        <f>30+31+30+31</f>
        <v>122</v>
      </c>
      <c r="H52" s="99">
        <f t="shared" si="4"/>
        <v>37.767736153432523</v>
      </c>
      <c r="I52" s="9">
        <f>H52/G52*assenze!H41</f>
        <v>16.716866822011117</v>
      </c>
      <c r="J52" s="9">
        <v>216.75</v>
      </c>
      <c r="K52" s="99"/>
      <c r="L52" s="99"/>
      <c r="M52" s="99"/>
      <c r="N52" s="98"/>
      <c r="O52" s="99"/>
    </row>
    <row r="53" spans="1:16">
      <c r="A53" s="43">
        <f t="shared" si="5"/>
        <v>21</v>
      </c>
      <c r="B53" s="72" t="s">
        <v>53</v>
      </c>
      <c r="C53" s="72" t="s">
        <v>54</v>
      </c>
      <c r="D53" s="74" t="s">
        <v>67</v>
      </c>
      <c r="E53" s="40" t="s">
        <v>182</v>
      </c>
      <c r="F53" s="86">
        <f t="shared" si="6"/>
        <v>304</v>
      </c>
      <c r="G53" s="91">
        <f>30+31+30+31+31+22</f>
        <v>175</v>
      </c>
      <c r="H53" s="99">
        <f t="shared" si="4"/>
        <v>54.17503136762862</v>
      </c>
      <c r="I53" s="73"/>
      <c r="J53" s="73">
        <v>750</v>
      </c>
      <c r="K53" s="99"/>
      <c r="L53" s="99"/>
      <c r="M53" s="99"/>
      <c r="N53" s="98"/>
      <c r="O53" s="99"/>
    </row>
    <row r="54" spans="1:16">
      <c r="A54" s="43">
        <f t="shared" si="5"/>
        <v>22</v>
      </c>
      <c r="B54" s="30" t="s">
        <v>178</v>
      </c>
      <c r="C54" s="30" t="s">
        <v>35</v>
      </c>
      <c r="D54" s="33" t="s">
        <v>67</v>
      </c>
      <c r="E54" s="40" t="s">
        <v>197</v>
      </c>
      <c r="F54" s="86">
        <f>13+30+31+31+29+31+30+31+6</f>
        <v>232</v>
      </c>
      <c r="G54" s="91">
        <f>13+30+31+31+22</f>
        <v>127</v>
      </c>
      <c r="H54" s="99">
        <f t="shared" si="4"/>
        <v>39.315594192507625</v>
      </c>
      <c r="I54" s="9"/>
      <c r="J54" s="9"/>
      <c r="K54" s="99"/>
      <c r="L54" s="99"/>
      <c r="M54" s="99"/>
      <c r="N54" s="98"/>
      <c r="O54" s="99"/>
    </row>
    <row r="55" spans="1:16">
      <c r="A55" s="43">
        <f t="shared" si="5"/>
        <v>23</v>
      </c>
      <c r="B55" s="30" t="s">
        <v>55</v>
      </c>
      <c r="C55" s="30" t="s">
        <v>56</v>
      </c>
      <c r="D55" s="74" t="s">
        <v>67</v>
      </c>
      <c r="E55" s="40" t="s">
        <v>182</v>
      </c>
      <c r="F55" s="86">
        <f t="shared" si="6"/>
        <v>304</v>
      </c>
      <c r="G55" s="91">
        <f t="shared" ref="G55:G57" si="9">30+31+30+31+31+22</f>
        <v>175</v>
      </c>
      <c r="H55" s="99">
        <f t="shared" si="4"/>
        <v>54.17503136762862</v>
      </c>
      <c r="I55" s="73"/>
      <c r="J55" s="73"/>
      <c r="K55" s="99"/>
      <c r="L55" s="99"/>
      <c r="M55" s="99"/>
      <c r="N55" s="98"/>
      <c r="O55" s="99"/>
    </row>
    <row r="56" spans="1:16">
      <c r="A56" s="43">
        <f t="shared" si="5"/>
        <v>24</v>
      </c>
      <c r="B56" s="36" t="s">
        <v>179</v>
      </c>
      <c r="C56" s="36" t="s">
        <v>180</v>
      </c>
      <c r="D56" s="74" t="s">
        <v>67</v>
      </c>
      <c r="E56" s="40" t="s">
        <v>182</v>
      </c>
      <c r="F56" s="86">
        <f t="shared" si="6"/>
        <v>304</v>
      </c>
      <c r="G56" s="91">
        <f t="shared" si="9"/>
        <v>175</v>
      </c>
      <c r="H56" s="99">
        <f t="shared" si="4"/>
        <v>54.17503136762862</v>
      </c>
      <c r="I56" s="73"/>
      <c r="J56" s="73"/>
      <c r="K56" s="99"/>
      <c r="L56" s="99"/>
      <c r="M56" s="99"/>
      <c r="N56" s="98"/>
      <c r="O56" s="99"/>
    </row>
    <row r="57" spans="1:16">
      <c r="A57" s="43">
        <f t="shared" si="5"/>
        <v>25</v>
      </c>
      <c r="B57" s="75" t="s">
        <v>58</v>
      </c>
      <c r="C57" s="75" t="s">
        <v>44</v>
      </c>
      <c r="D57" s="26" t="s">
        <v>67</v>
      </c>
      <c r="E57" s="40" t="s">
        <v>182</v>
      </c>
      <c r="F57" s="86">
        <f t="shared" si="6"/>
        <v>304</v>
      </c>
      <c r="G57" s="91">
        <f t="shared" si="9"/>
        <v>175</v>
      </c>
      <c r="H57" s="99">
        <f t="shared" si="4"/>
        <v>54.17503136762862</v>
      </c>
      <c r="I57" s="9"/>
      <c r="J57" s="9"/>
      <c r="K57" s="99"/>
      <c r="L57" s="99"/>
      <c r="M57" s="99"/>
      <c r="N57" s="98"/>
      <c r="O57" s="99"/>
    </row>
    <row r="58" spans="1:16">
      <c r="F58" s="67">
        <f>SUM(F33:F57)</f>
        <v>6388.3333333333339</v>
      </c>
      <c r="G58" s="67">
        <f>SUM(G33:G57)</f>
        <v>3719.333333333333</v>
      </c>
      <c r="H58" s="67">
        <f>SUM(H33:H57)</f>
        <v>1151.4000000000005</v>
      </c>
      <c r="I58" s="67">
        <f>SUM(I33:I57)</f>
        <v>33.433733644022233</v>
      </c>
      <c r="J58" s="67">
        <f>SUM(J33:J57)</f>
        <v>2500</v>
      </c>
      <c r="K58" s="67">
        <f t="shared" ref="K58:O58" si="10">SUM(K33:K57)</f>
        <v>0</v>
      </c>
      <c r="L58" s="67">
        <f t="shared" si="10"/>
        <v>0</v>
      </c>
      <c r="M58" s="67">
        <f t="shared" si="10"/>
        <v>0</v>
      </c>
      <c r="N58" s="67">
        <f t="shared" si="10"/>
        <v>0</v>
      </c>
      <c r="O58" s="67">
        <f t="shared" si="10"/>
        <v>0</v>
      </c>
      <c r="P58" s="53">
        <f>SUM(I58:O58)</f>
        <v>2533.4337336440221</v>
      </c>
    </row>
    <row r="59" spans="1:16">
      <c r="F59" s="53"/>
      <c r="G59" s="53"/>
      <c r="H59" s="53"/>
    </row>
    <row r="60" spans="1:16">
      <c r="H60" s="53"/>
    </row>
    <row r="61" spans="1:16">
      <c r="B61" s="46" t="s">
        <v>137</v>
      </c>
      <c r="C61" s="76">
        <v>0.6</v>
      </c>
      <c r="D61" s="43">
        <f>J32*60%</f>
        <v>1500</v>
      </c>
    </row>
    <row r="62" spans="1:16">
      <c r="B62" s="46" t="s">
        <v>211</v>
      </c>
      <c r="C62" s="103">
        <f>SUM(C63:C64)</f>
        <v>190</v>
      </c>
      <c r="D62" s="43">
        <f>D61/10*4</f>
        <v>600</v>
      </c>
    </row>
    <row r="63" spans="1:16">
      <c r="B63" s="3" t="s">
        <v>113</v>
      </c>
      <c r="C63" s="102">
        <f>122-54</f>
        <v>68</v>
      </c>
      <c r="D63" s="53">
        <f>D62/C62*C63</f>
        <v>214.73684210526315</v>
      </c>
    </row>
    <row r="64" spans="1:16">
      <c r="B64" s="3" t="s">
        <v>136</v>
      </c>
      <c r="C64" s="102">
        <v>122</v>
      </c>
      <c r="D64" s="53">
        <f>D62/C62*C64</f>
        <v>385.26315789473682</v>
      </c>
    </row>
    <row r="65" spans="2:5">
      <c r="B65" s="46" t="s">
        <v>212</v>
      </c>
      <c r="C65" s="53"/>
    </row>
    <row r="66" spans="2:5">
      <c r="B66" s="3" t="s">
        <v>136</v>
      </c>
      <c r="C66" s="53"/>
      <c r="D66" s="43">
        <f>D61/10*6</f>
        <v>900</v>
      </c>
      <c r="E66" s="53">
        <f>D66+D64</f>
        <v>1285.2631578947369</v>
      </c>
    </row>
    <row r="67" spans="2:5">
      <c r="B67" s="3"/>
      <c r="C67" s="53"/>
    </row>
    <row r="68" spans="2:5">
      <c r="B68" s="46" t="s">
        <v>138</v>
      </c>
      <c r="C68" s="76">
        <v>0.4</v>
      </c>
      <c r="D68" s="43">
        <f>J32*40%</f>
        <v>1000</v>
      </c>
    </row>
    <row r="69" spans="2:5">
      <c r="B69" s="3" t="s">
        <v>139</v>
      </c>
      <c r="D69" s="43">
        <f>D68*75%</f>
        <v>750</v>
      </c>
    </row>
    <row r="70" spans="2:5">
      <c r="B70" s="3" t="s">
        <v>140</v>
      </c>
      <c r="D70" s="43">
        <f>D68*25%</f>
        <v>250</v>
      </c>
    </row>
    <row r="72" spans="2:5">
      <c r="B72" s="46" t="s">
        <v>241</v>
      </c>
      <c r="C72" s="132">
        <f>SUM(C73:C77)</f>
        <v>727.5</v>
      </c>
      <c r="D72" s="134">
        <f>287.85/2</f>
        <v>143.92500000000001</v>
      </c>
      <c r="E72" s="77"/>
    </row>
    <row r="73" spans="2:5">
      <c r="B73" s="3" t="s">
        <v>242</v>
      </c>
      <c r="C73" s="103">
        <f>175-3</f>
        <v>172</v>
      </c>
      <c r="D73" s="135">
        <f>$D$72/$C$72*C73</f>
        <v>34.027628865979388</v>
      </c>
      <c r="E73" s="77"/>
    </row>
    <row r="74" spans="2:5">
      <c r="B74" s="3" t="s">
        <v>243</v>
      </c>
      <c r="C74" s="103">
        <f>175-18</f>
        <v>157</v>
      </c>
      <c r="D74" s="135">
        <f t="shared" ref="D74:D77" si="11">$D$72/$C$72*C74</f>
        <v>31.06010309278351</v>
      </c>
      <c r="E74" s="77"/>
    </row>
    <row r="75" spans="2:5">
      <c r="B75" s="3" t="s">
        <v>244</v>
      </c>
      <c r="C75" s="103">
        <v>175</v>
      </c>
      <c r="D75" s="135">
        <f t="shared" si="11"/>
        <v>34.621134020618562</v>
      </c>
      <c r="E75" s="77"/>
    </row>
    <row r="76" spans="2:5">
      <c r="B76" s="3" t="s">
        <v>245</v>
      </c>
      <c r="C76" s="103">
        <f>G50-2</f>
        <v>73.5</v>
      </c>
      <c r="D76" s="135">
        <f t="shared" si="11"/>
        <v>14.540876288659796</v>
      </c>
      <c r="E76" s="77"/>
    </row>
    <row r="77" spans="2:5">
      <c r="B77" s="3" t="s">
        <v>247</v>
      </c>
      <c r="C77" s="103">
        <f>G51-3</f>
        <v>150</v>
      </c>
      <c r="D77" s="135">
        <f t="shared" si="11"/>
        <v>29.675257731958766</v>
      </c>
      <c r="E77" s="77"/>
    </row>
    <row r="78" spans="2:5">
      <c r="B78" s="3"/>
      <c r="C78" s="103"/>
      <c r="D78" s="134">
        <f>SUM(D73:D77)</f>
        <v>143.92500000000004</v>
      </c>
      <c r="E78" s="77"/>
    </row>
    <row r="79" spans="2:5">
      <c r="B79" s="3"/>
      <c r="C79" s="103"/>
      <c r="D79" s="134"/>
      <c r="E79" s="77"/>
    </row>
    <row r="80" spans="2:5">
      <c r="B80" s="46" t="s">
        <v>246</v>
      </c>
      <c r="C80" s="132">
        <f>SUM(C81:C84)</f>
        <v>635</v>
      </c>
      <c r="D80" s="134">
        <f>287.85/2</f>
        <v>143.92500000000001</v>
      </c>
      <c r="E80" s="77"/>
    </row>
    <row r="81" spans="2:5">
      <c r="B81" s="3" t="s">
        <v>248</v>
      </c>
      <c r="C81" s="103">
        <f>G36-assenze!H9</f>
        <v>139</v>
      </c>
      <c r="D81" s="135">
        <f>$D$80/$C$80*C81</f>
        <v>31.504842519685042</v>
      </c>
      <c r="E81" s="77"/>
    </row>
    <row r="82" spans="2:5">
      <c r="B82" s="3" t="s">
        <v>249</v>
      </c>
      <c r="C82" s="103">
        <f>G39</f>
        <v>175</v>
      </c>
      <c r="D82" s="135">
        <f t="shared" ref="D82:D84" si="12">$D$80/$C$80*C82</f>
        <v>39.664370078740156</v>
      </c>
      <c r="E82" s="77"/>
    </row>
    <row r="83" spans="2:5">
      <c r="B83" s="3" t="s">
        <v>250</v>
      </c>
      <c r="C83" s="103">
        <f>G40-assenze!H14</f>
        <v>148</v>
      </c>
      <c r="D83" s="135">
        <f t="shared" si="12"/>
        <v>33.544724409448818</v>
      </c>
      <c r="E83" s="77"/>
    </row>
    <row r="84" spans="2:5">
      <c r="B84" s="3" t="s">
        <v>251</v>
      </c>
      <c r="C84" s="103">
        <f>G56-2</f>
        <v>173</v>
      </c>
      <c r="D84" s="135">
        <f t="shared" si="12"/>
        <v>39.211062992125989</v>
      </c>
      <c r="E84" s="77"/>
    </row>
    <row r="85" spans="2:5">
      <c r="B85" s="46"/>
      <c r="C85" s="76"/>
      <c r="D85" s="134">
        <f>SUM(D81:D84)</f>
        <v>143.92500000000001</v>
      </c>
      <c r="E85" s="77"/>
    </row>
    <row r="86" spans="2:5">
      <c r="B86" s="46"/>
      <c r="C86" s="76"/>
      <c r="D86" s="131"/>
      <c r="E86" s="77"/>
    </row>
    <row r="87" spans="2:5">
      <c r="B87" s="46"/>
      <c r="C87" s="76"/>
      <c r="D87" s="131"/>
      <c r="E87" s="77"/>
    </row>
    <row r="88" spans="2:5">
      <c r="B88" s="46" t="s">
        <v>254</v>
      </c>
      <c r="C88" s="132">
        <f>SUM(C89:C94)</f>
        <v>847.33333333333326</v>
      </c>
      <c r="D88" s="134">
        <f>1086.71/2</f>
        <v>543.35500000000002</v>
      </c>
      <c r="E88" s="77"/>
    </row>
    <row r="89" spans="2:5">
      <c r="B89" s="3" t="s">
        <v>257</v>
      </c>
      <c r="C89" s="103">
        <f>G34-4</f>
        <v>148</v>
      </c>
      <c r="D89" s="135">
        <f>$D$88/$C$88*C89</f>
        <v>94.905436664044075</v>
      </c>
      <c r="E89" s="77"/>
    </row>
    <row r="90" spans="2:5">
      <c r="B90" s="3" t="s">
        <v>256</v>
      </c>
      <c r="C90" s="103">
        <f>G43</f>
        <v>145.83333333333331</v>
      </c>
      <c r="D90" s="135">
        <f t="shared" ref="D90:D94" si="13">$D$88/$C$88*C90</f>
        <v>93.516055271439811</v>
      </c>
      <c r="E90" s="77"/>
    </row>
    <row r="91" spans="2:5">
      <c r="B91" s="3" t="s">
        <v>258</v>
      </c>
      <c r="C91" s="103">
        <f>G46-2</f>
        <v>173</v>
      </c>
      <c r="D91" s="135">
        <f t="shared" si="13"/>
        <v>110.93676042486233</v>
      </c>
      <c r="E91" s="77"/>
    </row>
    <row r="92" spans="2:5">
      <c r="B92" s="3" t="s">
        <v>243</v>
      </c>
      <c r="C92" s="103">
        <f>C74</f>
        <v>157</v>
      </c>
      <c r="D92" s="135">
        <f t="shared" si="13"/>
        <v>100.67671321793864</v>
      </c>
      <c r="E92" s="77"/>
    </row>
    <row r="93" spans="2:5">
      <c r="B93" s="3" t="s">
        <v>245</v>
      </c>
      <c r="C93" s="103">
        <f>C76</f>
        <v>73.5</v>
      </c>
      <c r="D93" s="135">
        <f t="shared" si="13"/>
        <v>47.132091856805673</v>
      </c>
      <c r="E93" s="77"/>
    </row>
    <row r="94" spans="2:5">
      <c r="B94" s="3" t="s">
        <v>247</v>
      </c>
      <c r="C94" s="103">
        <f>C77</f>
        <v>150</v>
      </c>
      <c r="D94" s="135">
        <f t="shared" si="13"/>
        <v>96.187942564909534</v>
      </c>
      <c r="E94" s="77"/>
    </row>
    <row r="95" spans="2:5">
      <c r="B95" s="3"/>
      <c r="C95" s="103"/>
      <c r="D95" s="134">
        <f>SUM(D89:D94)</f>
        <v>543.35500000000013</v>
      </c>
      <c r="E95" s="77"/>
    </row>
    <row r="96" spans="2:5">
      <c r="B96" s="3"/>
      <c r="C96" s="103"/>
      <c r="D96" s="134"/>
      <c r="E96" s="77"/>
    </row>
    <row r="97" spans="2:5">
      <c r="B97" s="46" t="s">
        <v>255</v>
      </c>
      <c r="C97" s="132">
        <f>SUM(C98:C102)</f>
        <v>772</v>
      </c>
      <c r="D97" s="134">
        <f>1086.71/2</f>
        <v>543.35500000000002</v>
      </c>
      <c r="E97" s="77"/>
    </row>
    <row r="98" spans="2:5">
      <c r="B98" s="3" t="s">
        <v>249</v>
      </c>
      <c r="C98" s="103">
        <f>C82</f>
        <v>175</v>
      </c>
      <c r="D98" s="135">
        <f>$D$97/$C$97*C98</f>
        <v>123.16985103626943</v>
      </c>
      <c r="E98" s="77"/>
    </row>
    <row r="99" spans="2:5">
      <c r="B99" s="3" t="s">
        <v>250</v>
      </c>
      <c r="C99" s="103">
        <f>C83</f>
        <v>148</v>
      </c>
      <c r="D99" s="135">
        <f t="shared" ref="D99:D102" si="14">$D$97/$C$97*C99</f>
        <v>104.16650259067359</v>
      </c>
      <c r="E99" s="77"/>
    </row>
    <row r="100" spans="2:5">
      <c r="B100" s="3" t="s">
        <v>259</v>
      </c>
      <c r="C100" s="103">
        <f>G41-4</f>
        <v>149</v>
      </c>
      <c r="D100" s="135">
        <f t="shared" si="14"/>
        <v>104.87033031088083</v>
      </c>
      <c r="E100" s="77"/>
    </row>
    <row r="101" spans="2:5">
      <c r="B101" s="3" t="s">
        <v>269</v>
      </c>
      <c r="C101" s="103">
        <f>G54</f>
        <v>127</v>
      </c>
      <c r="D101" s="135">
        <f t="shared" si="14"/>
        <v>89.386120466321245</v>
      </c>
      <c r="E101" s="77"/>
    </row>
    <row r="102" spans="2:5">
      <c r="B102" s="3" t="s">
        <v>251</v>
      </c>
      <c r="C102" s="103">
        <f>C84</f>
        <v>173</v>
      </c>
      <c r="D102" s="135">
        <f t="shared" si="14"/>
        <v>121.76219559585493</v>
      </c>
      <c r="E102" s="77"/>
    </row>
    <row r="103" spans="2:5">
      <c r="B103" s="46"/>
      <c r="C103" s="76"/>
      <c r="D103" s="134">
        <f>SUM(D98:D102)</f>
        <v>543.35500000000002</v>
      </c>
      <c r="E103" s="77"/>
    </row>
    <row r="104" spans="2:5">
      <c r="B104" s="46"/>
      <c r="C104" s="76"/>
      <c r="D104" s="131"/>
      <c r="E104" s="77"/>
    </row>
    <row r="105" spans="2:5">
      <c r="B105" s="46" t="s">
        <v>260</v>
      </c>
      <c r="C105" s="76"/>
      <c r="D105" s="134">
        <v>201.5</v>
      </c>
      <c r="E105" s="77"/>
    </row>
    <row r="106" spans="2:5">
      <c r="B106" s="3" t="s">
        <v>257</v>
      </c>
      <c r="C106" s="76"/>
      <c r="D106" s="135">
        <f>D105/3</f>
        <v>67.166666666666671</v>
      </c>
      <c r="E106" s="77"/>
    </row>
    <row r="107" spans="2:5">
      <c r="B107" s="3" t="s">
        <v>261</v>
      </c>
      <c r="C107" s="76"/>
      <c r="D107" s="135">
        <v>67.17</v>
      </c>
      <c r="E107" s="77"/>
    </row>
    <row r="108" spans="2:5">
      <c r="B108" s="3" t="s">
        <v>262</v>
      </c>
      <c r="C108" s="76"/>
      <c r="D108" s="135">
        <v>67.17</v>
      </c>
      <c r="E108" s="77"/>
    </row>
    <row r="109" spans="2:5">
      <c r="B109" s="46"/>
      <c r="C109" s="76"/>
      <c r="D109" s="134"/>
      <c r="E109" s="77"/>
    </row>
    <row r="110" spans="2:5">
      <c r="B110" s="46" t="s">
        <v>263</v>
      </c>
      <c r="C110" s="132">
        <f>SUM(C111:C116)</f>
        <v>32</v>
      </c>
      <c r="D110" s="134">
        <v>287.85000000000002</v>
      </c>
      <c r="E110" s="77"/>
    </row>
    <row r="111" spans="2:5">
      <c r="B111" s="3" t="s">
        <v>257</v>
      </c>
      <c r="C111" s="103">
        <v>6</v>
      </c>
      <c r="D111" s="135">
        <f>$D$110/$C$110*C111</f>
        <v>53.971875000000004</v>
      </c>
      <c r="E111" s="77"/>
    </row>
    <row r="112" spans="2:5">
      <c r="B112" s="3" t="s">
        <v>261</v>
      </c>
      <c r="C112" s="103">
        <v>6</v>
      </c>
      <c r="D112" s="135">
        <f t="shared" ref="D112:D116" si="15">$D$110/$C$110*C112</f>
        <v>53.971875000000004</v>
      </c>
      <c r="E112" s="77"/>
    </row>
    <row r="113" spans="2:5">
      <c r="B113" s="3" t="s">
        <v>264</v>
      </c>
      <c r="C113" s="103">
        <v>6</v>
      </c>
      <c r="D113" s="135">
        <f t="shared" si="15"/>
        <v>53.971875000000004</v>
      </c>
      <c r="E113" s="77"/>
    </row>
    <row r="114" spans="2:5">
      <c r="B114" s="3" t="s">
        <v>256</v>
      </c>
      <c r="C114" s="103">
        <v>5</v>
      </c>
      <c r="D114" s="135">
        <f t="shared" si="15"/>
        <v>44.9765625</v>
      </c>
      <c r="E114" s="77"/>
    </row>
    <row r="115" spans="2:5">
      <c r="B115" s="3" t="s">
        <v>258</v>
      </c>
      <c r="C115" s="103">
        <v>6</v>
      </c>
      <c r="D115" s="135">
        <f t="shared" si="15"/>
        <v>53.971875000000004</v>
      </c>
      <c r="E115" s="77"/>
    </row>
    <row r="116" spans="2:5">
      <c r="B116" s="3" t="s">
        <v>245</v>
      </c>
      <c r="C116" s="103">
        <v>3</v>
      </c>
      <c r="D116" s="135">
        <f t="shared" si="15"/>
        <v>26.985937500000002</v>
      </c>
      <c r="E116" s="77"/>
    </row>
    <row r="117" spans="2:5">
      <c r="B117" s="46"/>
      <c r="C117" s="103"/>
      <c r="D117" s="134">
        <f>SUM(D111:D116)</f>
        <v>287.84999999999997</v>
      </c>
      <c r="E117" s="77"/>
    </row>
    <row r="118" spans="2:5">
      <c r="B118" s="46"/>
      <c r="C118" s="103"/>
      <c r="D118" s="134"/>
      <c r="E118" s="77"/>
    </row>
    <row r="119" spans="2:5">
      <c r="B119" s="46" t="s">
        <v>265</v>
      </c>
      <c r="C119" s="132">
        <f>SUM(C120:C125)</f>
        <v>869.83333333333326</v>
      </c>
      <c r="D119" s="134">
        <v>287.85000000000002</v>
      </c>
      <c r="E119" s="77"/>
    </row>
    <row r="120" spans="2:5">
      <c r="B120" s="3" t="s">
        <v>261</v>
      </c>
      <c r="C120" s="103">
        <f>G35</f>
        <v>135</v>
      </c>
      <c r="D120" s="135">
        <f>$D$119/$C$119*C120</f>
        <v>44.674937727534015</v>
      </c>
      <c r="E120" s="77"/>
    </row>
    <row r="121" spans="2:5">
      <c r="B121" s="3" t="s">
        <v>256</v>
      </c>
      <c r="C121" s="103">
        <f>G43</f>
        <v>145.83333333333331</v>
      </c>
      <c r="D121" s="135">
        <f t="shared" ref="D121:D125" si="16">$D$119/$C$119*C121</f>
        <v>48.259963594558343</v>
      </c>
      <c r="E121" s="77"/>
    </row>
    <row r="122" spans="2:5">
      <c r="B122" s="3" t="s">
        <v>258</v>
      </c>
      <c r="C122" s="103">
        <f>C91</f>
        <v>173</v>
      </c>
      <c r="D122" s="135">
        <f t="shared" si="16"/>
        <v>57.250105384173217</v>
      </c>
      <c r="E122" s="77"/>
    </row>
    <row r="123" spans="2:5">
      <c r="B123" s="3" t="s">
        <v>266</v>
      </c>
      <c r="C123" s="103">
        <f>G48-2</f>
        <v>173</v>
      </c>
      <c r="D123" s="135">
        <f t="shared" si="16"/>
        <v>57.250105384173217</v>
      </c>
      <c r="E123" s="77"/>
    </row>
    <row r="124" spans="2:5">
      <c r="B124" s="3" t="s">
        <v>244</v>
      </c>
      <c r="C124" s="103">
        <f>C75</f>
        <v>175</v>
      </c>
      <c r="D124" s="135">
        <f t="shared" si="16"/>
        <v>57.911956313470021</v>
      </c>
      <c r="E124" s="77"/>
    </row>
    <row r="125" spans="2:5">
      <c r="B125" s="3" t="s">
        <v>268</v>
      </c>
      <c r="C125" s="102">
        <f>122-54</f>
        <v>68</v>
      </c>
      <c r="D125" s="135">
        <f t="shared" si="16"/>
        <v>22.502931596091209</v>
      </c>
      <c r="E125" s="77"/>
    </row>
    <row r="126" spans="2:5">
      <c r="B126" s="46"/>
      <c r="C126" s="103"/>
      <c r="D126" s="134">
        <f>SUM(D120:D125)</f>
        <v>287.85000000000002</v>
      </c>
      <c r="E126" s="77"/>
    </row>
    <row r="127" spans="2:5">
      <c r="B127" s="46"/>
      <c r="C127" s="103"/>
      <c r="D127" s="136"/>
      <c r="E127" s="77"/>
    </row>
    <row r="128" spans="2:5">
      <c r="B128" s="3"/>
      <c r="C128" s="103"/>
      <c r="D128" s="137"/>
    </row>
    <row r="129" spans="2:4">
      <c r="B129" s="3"/>
      <c r="C129" s="53"/>
      <c r="D129" s="79"/>
    </row>
    <row r="130" spans="2:4">
      <c r="B130" s="3"/>
      <c r="C130" s="53"/>
      <c r="D130" s="78"/>
    </row>
  </sheetData>
  <pageMargins left="0" right="0" top="0" bottom="0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1:F68"/>
  <sheetViews>
    <sheetView workbookViewId="0">
      <selection activeCell="E59" sqref="E59"/>
    </sheetView>
  </sheetViews>
  <sheetFormatPr defaultRowHeight="12.75"/>
  <cols>
    <col min="1" max="1" width="16.140625" customWidth="1"/>
    <col min="2" max="2" width="20" customWidth="1"/>
    <col min="3" max="3" width="6.85546875" customWidth="1"/>
    <col min="4" max="4" width="9.140625" customWidth="1"/>
    <col min="5" max="5" width="8.7109375" customWidth="1"/>
    <col min="6" max="6" width="72.140625" customWidth="1"/>
    <col min="7" max="7" width="21.85546875" customWidth="1"/>
    <col min="257" max="257" width="16.140625" customWidth="1"/>
    <col min="258" max="258" width="20" customWidth="1"/>
    <col min="259" max="259" width="6.85546875" customWidth="1"/>
    <col min="260" max="260" width="9.140625" customWidth="1"/>
    <col min="261" max="261" width="8.7109375" customWidth="1"/>
    <col min="262" max="262" width="72.140625" customWidth="1"/>
    <col min="263" max="263" width="21.85546875" customWidth="1"/>
    <col min="513" max="513" width="16.140625" customWidth="1"/>
    <col min="514" max="514" width="20" customWidth="1"/>
    <col min="515" max="515" width="6.85546875" customWidth="1"/>
    <col min="516" max="516" width="9.140625" customWidth="1"/>
    <col min="517" max="517" width="8.7109375" customWidth="1"/>
    <col min="518" max="518" width="72.140625" customWidth="1"/>
    <col min="519" max="519" width="21.85546875" customWidth="1"/>
    <col min="769" max="769" width="16.140625" customWidth="1"/>
    <col min="770" max="770" width="20" customWidth="1"/>
    <col min="771" max="771" width="6.85546875" customWidth="1"/>
    <col min="772" max="772" width="9.140625" customWidth="1"/>
    <col min="773" max="773" width="8.7109375" customWidth="1"/>
    <col min="774" max="774" width="72.140625" customWidth="1"/>
    <col min="775" max="775" width="21.85546875" customWidth="1"/>
    <col min="1025" max="1025" width="16.140625" customWidth="1"/>
    <col min="1026" max="1026" width="20" customWidth="1"/>
    <col min="1027" max="1027" width="6.85546875" customWidth="1"/>
    <col min="1028" max="1028" width="9.140625" customWidth="1"/>
    <col min="1029" max="1029" width="8.7109375" customWidth="1"/>
    <col min="1030" max="1030" width="72.140625" customWidth="1"/>
    <col min="1031" max="1031" width="21.85546875" customWidth="1"/>
    <col min="1281" max="1281" width="16.140625" customWidth="1"/>
    <col min="1282" max="1282" width="20" customWidth="1"/>
    <col min="1283" max="1283" width="6.85546875" customWidth="1"/>
    <col min="1284" max="1284" width="9.140625" customWidth="1"/>
    <col min="1285" max="1285" width="8.7109375" customWidth="1"/>
    <col min="1286" max="1286" width="72.140625" customWidth="1"/>
    <col min="1287" max="1287" width="21.85546875" customWidth="1"/>
    <col min="1537" max="1537" width="16.140625" customWidth="1"/>
    <col min="1538" max="1538" width="20" customWidth="1"/>
    <col min="1539" max="1539" width="6.85546875" customWidth="1"/>
    <col min="1540" max="1540" width="9.140625" customWidth="1"/>
    <col min="1541" max="1541" width="8.7109375" customWidth="1"/>
    <col min="1542" max="1542" width="72.140625" customWidth="1"/>
    <col min="1543" max="1543" width="21.85546875" customWidth="1"/>
    <col min="1793" max="1793" width="16.140625" customWidth="1"/>
    <col min="1794" max="1794" width="20" customWidth="1"/>
    <col min="1795" max="1795" width="6.85546875" customWidth="1"/>
    <col min="1796" max="1796" width="9.140625" customWidth="1"/>
    <col min="1797" max="1797" width="8.7109375" customWidth="1"/>
    <col min="1798" max="1798" width="72.140625" customWidth="1"/>
    <col min="1799" max="1799" width="21.85546875" customWidth="1"/>
    <col min="2049" max="2049" width="16.140625" customWidth="1"/>
    <col min="2050" max="2050" width="20" customWidth="1"/>
    <col min="2051" max="2051" width="6.85546875" customWidth="1"/>
    <col min="2052" max="2052" width="9.140625" customWidth="1"/>
    <col min="2053" max="2053" width="8.7109375" customWidth="1"/>
    <col min="2054" max="2054" width="72.140625" customWidth="1"/>
    <col min="2055" max="2055" width="21.85546875" customWidth="1"/>
    <col min="2305" max="2305" width="16.140625" customWidth="1"/>
    <col min="2306" max="2306" width="20" customWidth="1"/>
    <col min="2307" max="2307" width="6.85546875" customWidth="1"/>
    <col min="2308" max="2308" width="9.140625" customWidth="1"/>
    <col min="2309" max="2309" width="8.7109375" customWidth="1"/>
    <col min="2310" max="2310" width="72.140625" customWidth="1"/>
    <col min="2311" max="2311" width="21.85546875" customWidth="1"/>
    <col min="2561" max="2561" width="16.140625" customWidth="1"/>
    <col min="2562" max="2562" width="20" customWidth="1"/>
    <col min="2563" max="2563" width="6.85546875" customWidth="1"/>
    <col min="2564" max="2564" width="9.140625" customWidth="1"/>
    <col min="2565" max="2565" width="8.7109375" customWidth="1"/>
    <col min="2566" max="2566" width="72.140625" customWidth="1"/>
    <col min="2567" max="2567" width="21.85546875" customWidth="1"/>
    <col min="2817" max="2817" width="16.140625" customWidth="1"/>
    <col min="2818" max="2818" width="20" customWidth="1"/>
    <col min="2819" max="2819" width="6.85546875" customWidth="1"/>
    <col min="2820" max="2820" width="9.140625" customWidth="1"/>
    <col min="2821" max="2821" width="8.7109375" customWidth="1"/>
    <col min="2822" max="2822" width="72.140625" customWidth="1"/>
    <col min="2823" max="2823" width="21.85546875" customWidth="1"/>
    <col min="3073" max="3073" width="16.140625" customWidth="1"/>
    <col min="3074" max="3074" width="20" customWidth="1"/>
    <col min="3075" max="3075" width="6.85546875" customWidth="1"/>
    <col min="3076" max="3076" width="9.140625" customWidth="1"/>
    <col min="3077" max="3077" width="8.7109375" customWidth="1"/>
    <col min="3078" max="3078" width="72.140625" customWidth="1"/>
    <col min="3079" max="3079" width="21.85546875" customWidth="1"/>
    <col min="3329" max="3329" width="16.140625" customWidth="1"/>
    <col min="3330" max="3330" width="20" customWidth="1"/>
    <col min="3331" max="3331" width="6.85546875" customWidth="1"/>
    <col min="3332" max="3332" width="9.140625" customWidth="1"/>
    <col min="3333" max="3333" width="8.7109375" customWidth="1"/>
    <col min="3334" max="3334" width="72.140625" customWidth="1"/>
    <col min="3335" max="3335" width="21.85546875" customWidth="1"/>
    <col min="3585" max="3585" width="16.140625" customWidth="1"/>
    <col min="3586" max="3586" width="20" customWidth="1"/>
    <col min="3587" max="3587" width="6.85546875" customWidth="1"/>
    <col min="3588" max="3588" width="9.140625" customWidth="1"/>
    <col min="3589" max="3589" width="8.7109375" customWidth="1"/>
    <col min="3590" max="3590" width="72.140625" customWidth="1"/>
    <col min="3591" max="3591" width="21.85546875" customWidth="1"/>
    <col min="3841" max="3841" width="16.140625" customWidth="1"/>
    <col min="3842" max="3842" width="20" customWidth="1"/>
    <col min="3843" max="3843" width="6.85546875" customWidth="1"/>
    <col min="3844" max="3844" width="9.140625" customWidth="1"/>
    <col min="3845" max="3845" width="8.7109375" customWidth="1"/>
    <col min="3846" max="3846" width="72.140625" customWidth="1"/>
    <col min="3847" max="3847" width="21.85546875" customWidth="1"/>
    <col min="4097" max="4097" width="16.140625" customWidth="1"/>
    <col min="4098" max="4098" width="20" customWidth="1"/>
    <col min="4099" max="4099" width="6.85546875" customWidth="1"/>
    <col min="4100" max="4100" width="9.140625" customWidth="1"/>
    <col min="4101" max="4101" width="8.7109375" customWidth="1"/>
    <col min="4102" max="4102" width="72.140625" customWidth="1"/>
    <col min="4103" max="4103" width="21.85546875" customWidth="1"/>
    <col min="4353" max="4353" width="16.140625" customWidth="1"/>
    <col min="4354" max="4354" width="20" customWidth="1"/>
    <col min="4355" max="4355" width="6.85546875" customWidth="1"/>
    <col min="4356" max="4356" width="9.140625" customWidth="1"/>
    <col min="4357" max="4357" width="8.7109375" customWidth="1"/>
    <col min="4358" max="4358" width="72.140625" customWidth="1"/>
    <col min="4359" max="4359" width="21.85546875" customWidth="1"/>
    <col min="4609" max="4609" width="16.140625" customWidth="1"/>
    <col min="4610" max="4610" width="20" customWidth="1"/>
    <col min="4611" max="4611" width="6.85546875" customWidth="1"/>
    <col min="4612" max="4612" width="9.140625" customWidth="1"/>
    <col min="4613" max="4613" width="8.7109375" customWidth="1"/>
    <col min="4614" max="4614" width="72.140625" customWidth="1"/>
    <col min="4615" max="4615" width="21.85546875" customWidth="1"/>
    <col min="4865" max="4865" width="16.140625" customWidth="1"/>
    <col min="4866" max="4866" width="20" customWidth="1"/>
    <col min="4867" max="4867" width="6.85546875" customWidth="1"/>
    <col min="4868" max="4868" width="9.140625" customWidth="1"/>
    <col min="4869" max="4869" width="8.7109375" customWidth="1"/>
    <col min="4870" max="4870" width="72.140625" customWidth="1"/>
    <col min="4871" max="4871" width="21.85546875" customWidth="1"/>
    <col min="5121" max="5121" width="16.140625" customWidth="1"/>
    <col min="5122" max="5122" width="20" customWidth="1"/>
    <col min="5123" max="5123" width="6.85546875" customWidth="1"/>
    <col min="5124" max="5124" width="9.140625" customWidth="1"/>
    <col min="5125" max="5125" width="8.7109375" customWidth="1"/>
    <col min="5126" max="5126" width="72.140625" customWidth="1"/>
    <col min="5127" max="5127" width="21.85546875" customWidth="1"/>
    <col min="5377" max="5377" width="16.140625" customWidth="1"/>
    <col min="5378" max="5378" width="20" customWidth="1"/>
    <col min="5379" max="5379" width="6.85546875" customWidth="1"/>
    <col min="5380" max="5380" width="9.140625" customWidth="1"/>
    <col min="5381" max="5381" width="8.7109375" customWidth="1"/>
    <col min="5382" max="5382" width="72.140625" customWidth="1"/>
    <col min="5383" max="5383" width="21.85546875" customWidth="1"/>
    <col min="5633" max="5633" width="16.140625" customWidth="1"/>
    <col min="5634" max="5634" width="20" customWidth="1"/>
    <col min="5635" max="5635" width="6.85546875" customWidth="1"/>
    <col min="5636" max="5636" width="9.140625" customWidth="1"/>
    <col min="5637" max="5637" width="8.7109375" customWidth="1"/>
    <col min="5638" max="5638" width="72.140625" customWidth="1"/>
    <col min="5639" max="5639" width="21.85546875" customWidth="1"/>
    <col min="5889" max="5889" width="16.140625" customWidth="1"/>
    <col min="5890" max="5890" width="20" customWidth="1"/>
    <col min="5891" max="5891" width="6.85546875" customWidth="1"/>
    <col min="5892" max="5892" width="9.140625" customWidth="1"/>
    <col min="5893" max="5893" width="8.7109375" customWidth="1"/>
    <col min="5894" max="5894" width="72.140625" customWidth="1"/>
    <col min="5895" max="5895" width="21.85546875" customWidth="1"/>
    <col min="6145" max="6145" width="16.140625" customWidth="1"/>
    <col min="6146" max="6146" width="20" customWidth="1"/>
    <col min="6147" max="6147" width="6.85546875" customWidth="1"/>
    <col min="6148" max="6148" width="9.140625" customWidth="1"/>
    <col min="6149" max="6149" width="8.7109375" customWidth="1"/>
    <col min="6150" max="6150" width="72.140625" customWidth="1"/>
    <col min="6151" max="6151" width="21.85546875" customWidth="1"/>
    <col min="6401" max="6401" width="16.140625" customWidth="1"/>
    <col min="6402" max="6402" width="20" customWidth="1"/>
    <col min="6403" max="6403" width="6.85546875" customWidth="1"/>
    <col min="6404" max="6404" width="9.140625" customWidth="1"/>
    <col min="6405" max="6405" width="8.7109375" customWidth="1"/>
    <col min="6406" max="6406" width="72.140625" customWidth="1"/>
    <col min="6407" max="6407" width="21.85546875" customWidth="1"/>
    <col min="6657" max="6657" width="16.140625" customWidth="1"/>
    <col min="6658" max="6658" width="20" customWidth="1"/>
    <col min="6659" max="6659" width="6.85546875" customWidth="1"/>
    <col min="6660" max="6660" width="9.140625" customWidth="1"/>
    <col min="6661" max="6661" width="8.7109375" customWidth="1"/>
    <col min="6662" max="6662" width="72.140625" customWidth="1"/>
    <col min="6663" max="6663" width="21.85546875" customWidth="1"/>
    <col min="6913" max="6913" width="16.140625" customWidth="1"/>
    <col min="6914" max="6914" width="20" customWidth="1"/>
    <col min="6915" max="6915" width="6.85546875" customWidth="1"/>
    <col min="6916" max="6916" width="9.140625" customWidth="1"/>
    <col min="6917" max="6917" width="8.7109375" customWidth="1"/>
    <col min="6918" max="6918" width="72.140625" customWidth="1"/>
    <col min="6919" max="6919" width="21.85546875" customWidth="1"/>
    <col min="7169" max="7169" width="16.140625" customWidth="1"/>
    <col min="7170" max="7170" width="20" customWidth="1"/>
    <col min="7171" max="7171" width="6.85546875" customWidth="1"/>
    <col min="7172" max="7172" width="9.140625" customWidth="1"/>
    <col min="7173" max="7173" width="8.7109375" customWidth="1"/>
    <col min="7174" max="7174" width="72.140625" customWidth="1"/>
    <col min="7175" max="7175" width="21.85546875" customWidth="1"/>
    <col min="7425" max="7425" width="16.140625" customWidth="1"/>
    <col min="7426" max="7426" width="20" customWidth="1"/>
    <col min="7427" max="7427" width="6.85546875" customWidth="1"/>
    <col min="7428" max="7428" width="9.140625" customWidth="1"/>
    <col min="7429" max="7429" width="8.7109375" customWidth="1"/>
    <col min="7430" max="7430" width="72.140625" customWidth="1"/>
    <col min="7431" max="7431" width="21.85546875" customWidth="1"/>
    <col min="7681" max="7681" width="16.140625" customWidth="1"/>
    <col min="7682" max="7682" width="20" customWidth="1"/>
    <col min="7683" max="7683" width="6.85546875" customWidth="1"/>
    <col min="7684" max="7684" width="9.140625" customWidth="1"/>
    <col min="7685" max="7685" width="8.7109375" customWidth="1"/>
    <col min="7686" max="7686" width="72.140625" customWidth="1"/>
    <col min="7687" max="7687" width="21.85546875" customWidth="1"/>
    <col min="7937" max="7937" width="16.140625" customWidth="1"/>
    <col min="7938" max="7938" width="20" customWidth="1"/>
    <col min="7939" max="7939" width="6.85546875" customWidth="1"/>
    <col min="7940" max="7940" width="9.140625" customWidth="1"/>
    <col min="7941" max="7941" width="8.7109375" customWidth="1"/>
    <col min="7942" max="7942" width="72.140625" customWidth="1"/>
    <col min="7943" max="7943" width="21.85546875" customWidth="1"/>
    <col min="8193" max="8193" width="16.140625" customWidth="1"/>
    <col min="8194" max="8194" width="20" customWidth="1"/>
    <col min="8195" max="8195" width="6.85546875" customWidth="1"/>
    <col min="8196" max="8196" width="9.140625" customWidth="1"/>
    <col min="8197" max="8197" width="8.7109375" customWidth="1"/>
    <col min="8198" max="8198" width="72.140625" customWidth="1"/>
    <col min="8199" max="8199" width="21.85546875" customWidth="1"/>
    <col min="8449" max="8449" width="16.140625" customWidth="1"/>
    <col min="8450" max="8450" width="20" customWidth="1"/>
    <col min="8451" max="8451" width="6.85546875" customWidth="1"/>
    <col min="8452" max="8452" width="9.140625" customWidth="1"/>
    <col min="8453" max="8453" width="8.7109375" customWidth="1"/>
    <col min="8454" max="8454" width="72.140625" customWidth="1"/>
    <col min="8455" max="8455" width="21.85546875" customWidth="1"/>
    <col min="8705" max="8705" width="16.140625" customWidth="1"/>
    <col min="8706" max="8706" width="20" customWidth="1"/>
    <col min="8707" max="8707" width="6.85546875" customWidth="1"/>
    <col min="8708" max="8708" width="9.140625" customWidth="1"/>
    <col min="8709" max="8709" width="8.7109375" customWidth="1"/>
    <col min="8710" max="8710" width="72.140625" customWidth="1"/>
    <col min="8711" max="8711" width="21.85546875" customWidth="1"/>
    <col min="8961" max="8961" width="16.140625" customWidth="1"/>
    <col min="8962" max="8962" width="20" customWidth="1"/>
    <col min="8963" max="8963" width="6.85546875" customWidth="1"/>
    <col min="8964" max="8964" width="9.140625" customWidth="1"/>
    <col min="8965" max="8965" width="8.7109375" customWidth="1"/>
    <col min="8966" max="8966" width="72.140625" customWidth="1"/>
    <col min="8967" max="8967" width="21.85546875" customWidth="1"/>
    <col min="9217" max="9217" width="16.140625" customWidth="1"/>
    <col min="9218" max="9218" width="20" customWidth="1"/>
    <col min="9219" max="9219" width="6.85546875" customWidth="1"/>
    <col min="9220" max="9220" width="9.140625" customWidth="1"/>
    <col min="9221" max="9221" width="8.7109375" customWidth="1"/>
    <col min="9222" max="9222" width="72.140625" customWidth="1"/>
    <col min="9223" max="9223" width="21.85546875" customWidth="1"/>
    <col min="9473" max="9473" width="16.140625" customWidth="1"/>
    <col min="9474" max="9474" width="20" customWidth="1"/>
    <col min="9475" max="9475" width="6.85546875" customWidth="1"/>
    <col min="9476" max="9476" width="9.140625" customWidth="1"/>
    <col min="9477" max="9477" width="8.7109375" customWidth="1"/>
    <col min="9478" max="9478" width="72.140625" customWidth="1"/>
    <col min="9479" max="9479" width="21.85546875" customWidth="1"/>
    <col min="9729" max="9729" width="16.140625" customWidth="1"/>
    <col min="9730" max="9730" width="20" customWidth="1"/>
    <col min="9731" max="9731" width="6.85546875" customWidth="1"/>
    <col min="9732" max="9732" width="9.140625" customWidth="1"/>
    <col min="9733" max="9733" width="8.7109375" customWidth="1"/>
    <col min="9734" max="9734" width="72.140625" customWidth="1"/>
    <col min="9735" max="9735" width="21.85546875" customWidth="1"/>
    <col min="9985" max="9985" width="16.140625" customWidth="1"/>
    <col min="9986" max="9986" width="20" customWidth="1"/>
    <col min="9987" max="9987" width="6.85546875" customWidth="1"/>
    <col min="9988" max="9988" width="9.140625" customWidth="1"/>
    <col min="9989" max="9989" width="8.7109375" customWidth="1"/>
    <col min="9990" max="9990" width="72.140625" customWidth="1"/>
    <col min="9991" max="9991" width="21.85546875" customWidth="1"/>
    <col min="10241" max="10241" width="16.140625" customWidth="1"/>
    <col min="10242" max="10242" width="20" customWidth="1"/>
    <col min="10243" max="10243" width="6.85546875" customWidth="1"/>
    <col min="10244" max="10244" width="9.140625" customWidth="1"/>
    <col min="10245" max="10245" width="8.7109375" customWidth="1"/>
    <col min="10246" max="10246" width="72.140625" customWidth="1"/>
    <col min="10247" max="10247" width="21.85546875" customWidth="1"/>
    <col min="10497" max="10497" width="16.140625" customWidth="1"/>
    <col min="10498" max="10498" width="20" customWidth="1"/>
    <col min="10499" max="10499" width="6.85546875" customWidth="1"/>
    <col min="10500" max="10500" width="9.140625" customWidth="1"/>
    <col min="10501" max="10501" width="8.7109375" customWidth="1"/>
    <col min="10502" max="10502" width="72.140625" customWidth="1"/>
    <col min="10503" max="10503" width="21.85546875" customWidth="1"/>
    <col min="10753" max="10753" width="16.140625" customWidth="1"/>
    <col min="10754" max="10754" width="20" customWidth="1"/>
    <col min="10755" max="10755" width="6.85546875" customWidth="1"/>
    <col min="10756" max="10756" width="9.140625" customWidth="1"/>
    <col min="10757" max="10757" width="8.7109375" customWidth="1"/>
    <col min="10758" max="10758" width="72.140625" customWidth="1"/>
    <col min="10759" max="10759" width="21.85546875" customWidth="1"/>
    <col min="11009" max="11009" width="16.140625" customWidth="1"/>
    <col min="11010" max="11010" width="20" customWidth="1"/>
    <col min="11011" max="11011" width="6.85546875" customWidth="1"/>
    <col min="11012" max="11012" width="9.140625" customWidth="1"/>
    <col min="11013" max="11013" width="8.7109375" customWidth="1"/>
    <col min="11014" max="11014" width="72.140625" customWidth="1"/>
    <col min="11015" max="11015" width="21.85546875" customWidth="1"/>
    <col min="11265" max="11265" width="16.140625" customWidth="1"/>
    <col min="11266" max="11266" width="20" customWidth="1"/>
    <col min="11267" max="11267" width="6.85546875" customWidth="1"/>
    <col min="11268" max="11268" width="9.140625" customWidth="1"/>
    <col min="11269" max="11269" width="8.7109375" customWidth="1"/>
    <col min="11270" max="11270" width="72.140625" customWidth="1"/>
    <col min="11271" max="11271" width="21.85546875" customWidth="1"/>
    <col min="11521" max="11521" width="16.140625" customWidth="1"/>
    <col min="11522" max="11522" width="20" customWidth="1"/>
    <col min="11523" max="11523" width="6.85546875" customWidth="1"/>
    <col min="11524" max="11524" width="9.140625" customWidth="1"/>
    <col min="11525" max="11525" width="8.7109375" customWidth="1"/>
    <col min="11526" max="11526" width="72.140625" customWidth="1"/>
    <col min="11527" max="11527" width="21.85546875" customWidth="1"/>
    <col min="11777" max="11777" width="16.140625" customWidth="1"/>
    <col min="11778" max="11778" width="20" customWidth="1"/>
    <col min="11779" max="11779" width="6.85546875" customWidth="1"/>
    <col min="11780" max="11780" width="9.140625" customWidth="1"/>
    <col min="11781" max="11781" width="8.7109375" customWidth="1"/>
    <col min="11782" max="11782" width="72.140625" customWidth="1"/>
    <col min="11783" max="11783" width="21.85546875" customWidth="1"/>
    <col min="12033" max="12033" width="16.140625" customWidth="1"/>
    <col min="12034" max="12034" width="20" customWidth="1"/>
    <col min="12035" max="12035" width="6.85546875" customWidth="1"/>
    <col min="12036" max="12036" width="9.140625" customWidth="1"/>
    <col min="12037" max="12037" width="8.7109375" customWidth="1"/>
    <col min="12038" max="12038" width="72.140625" customWidth="1"/>
    <col min="12039" max="12039" width="21.85546875" customWidth="1"/>
    <col min="12289" max="12289" width="16.140625" customWidth="1"/>
    <col min="12290" max="12290" width="20" customWidth="1"/>
    <col min="12291" max="12291" width="6.85546875" customWidth="1"/>
    <col min="12292" max="12292" width="9.140625" customWidth="1"/>
    <col min="12293" max="12293" width="8.7109375" customWidth="1"/>
    <col min="12294" max="12294" width="72.140625" customWidth="1"/>
    <col min="12295" max="12295" width="21.85546875" customWidth="1"/>
    <col min="12545" max="12545" width="16.140625" customWidth="1"/>
    <col min="12546" max="12546" width="20" customWidth="1"/>
    <col min="12547" max="12547" width="6.85546875" customWidth="1"/>
    <col min="12548" max="12548" width="9.140625" customWidth="1"/>
    <col min="12549" max="12549" width="8.7109375" customWidth="1"/>
    <col min="12550" max="12550" width="72.140625" customWidth="1"/>
    <col min="12551" max="12551" width="21.85546875" customWidth="1"/>
    <col min="12801" max="12801" width="16.140625" customWidth="1"/>
    <col min="12802" max="12802" width="20" customWidth="1"/>
    <col min="12803" max="12803" width="6.85546875" customWidth="1"/>
    <col min="12804" max="12804" width="9.140625" customWidth="1"/>
    <col min="12805" max="12805" width="8.7109375" customWidth="1"/>
    <col min="12806" max="12806" width="72.140625" customWidth="1"/>
    <col min="12807" max="12807" width="21.85546875" customWidth="1"/>
    <col min="13057" max="13057" width="16.140625" customWidth="1"/>
    <col min="13058" max="13058" width="20" customWidth="1"/>
    <col min="13059" max="13059" width="6.85546875" customWidth="1"/>
    <col min="13060" max="13060" width="9.140625" customWidth="1"/>
    <col min="13061" max="13061" width="8.7109375" customWidth="1"/>
    <col min="13062" max="13062" width="72.140625" customWidth="1"/>
    <col min="13063" max="13063" width="21.85546875" customWidth="1"/>
    <col min="13313" max="13313" width="16.140625" customWidth="1"/>
    <col min="13314" max="13314" width="20" customWidth="1"/>
    <col min="13315" max="13315" width="6.85546875" customWidth="1"/>
    <col min="13316" max="13316" width="9.140625" customWidth="1"/>
    <col min="13317" max="13317" width="8.7109375" customWidth="1"/>
    <col min="13318" max="13318" width="72.140625" customWidth="1"/>
    <col min="13319" max="13319" width="21.85546875" customWidth="1"/>
    <col min="13569" max="13569" width="16.140625" customWidth="1"/>
    <col min="13570" max="13570" width="20" customWidth="1"/>
    <col min="13571" max="13571" width="6.85546875" customWidth="1"/>
    <col min="13572" max="13572" width="9.140625" customWidth="1"/>
    <col min="13573" max="13573" width="8.7109375" customWidth="1"/>
    <col min="13574" max="13574" width="72.140625" customWidth="1"/>
    <col min="13575" max="13575" width="21.85546875" customWidth="1"/>
    <col min="13825" max="13825" width="16.140625" customWidth="1"/>
    <col min="13826" max="13826" width="20" customWidth="1"/>
    <col min="13827" max="13827" width="6.85546875" customWidth="1"/>
    <col min="13828" max="13828" width="9.140625" customWidth="1"/>
    <col min="13829" max="13829" width="8.7109375" customWidth="1"/>
    <col min="13830" max="13830" width="72.140625" customWidth="1"/>
    <col min="13831" max="13831" width="21.85546875" customWidth="1"/>
    <col min="14081" max="14081" width="16.140625" customWidth="1"/>
    <col min="14082" max="14082" width="20" customWidth="1"/>
    <col min="14083" max="14083" width="6.85546875" customWidth="1"/>
    <col min="14084" max="14084" width="9.140625" customWidth="1"/>
    <col min="14085" max="14085" width="8.7109375" customWidth="1"/>
    <col min="14086" max="14086" width="72.140625" customWidth="1"/>
    <col min="14087" max="14087" width="21.85546875" customWidth="1"/>
    <col min="14337" max="14337" width="16.140625" customWidth="1"/>
    <col min="14338" max="14338" width="20" customWidth="1"/>
    <col min="14339" max="14339" width="6.85546875" customWidth="1"/>
    <col min="14340" max="14340" width="9.140625" customWidth="1"/>
    <col min="14341" max="14341" width="8.7109375" customWidth="1"/>
    <col min="14342" max="14342" width="72.140625" customWidth="1"/>
    <col min="14343" max="14343" width="21.85546875" customWidth="1"/>
    <col min="14593" max="14593" width="16.140625" customWidth="1"/>
    <col min="14594" max="14594" width="20" customWidth="1"/>
    <col min="14595" max="14595" width="6.85546875" customWidth="1"/>
    <col min="14596" max="14596" width="9.140625" customWidth="1"/>
    <col min="14597" max="14597" width="8.7109375" customWidth="1"/>
    <col min="14598" max="14598" width="72.140625" customWidth="1"/>
    <col min="14599" max="14599" width="21.85546875" customWidth="1"/>
    <col min="14849" max="14849" width="16.140625" customWidth="1"/>
    <col min="14850" max="14850" width="20" customWidth="1"/>
    <col min="14851" max="14851" width="6.85546875" customWidth="1"/>
    <col min="14852" max="14852" width="9.140625" customWidth="1"/>
    <col min="14853" max="14853" width="8.7109375" customWidth="1"/>
    <col min="14854" max="14854" width="72.140625" customWidth="1"/>
    <col min="14855" max="14855" width="21.85546875" customWidth="1"/>
    <col min="15105" max="15105" width="16.140625" customWidth="1"/>
    <col min="15106" max="15106" width="20" customWidth="1"/>
    <col min="15107" max="15107" width="6.85546875" customWidth="1"/>
    <col min="15108" max="15108" width="9.140625" customWidth="1"/>
    <col min="15109" max="15109" width="8.7109375" customWidth="1"/>
    <col min="15110" max="15110" width="72.140625" customWidth="1"/>
    <col min="15111" max="15111" width="21.85546875" customWidth="1"/>
    <col min="15361" max="15361" width="16.140625" customWidth="1"/>
    <col min="15362" max="15362" width="20" customWidth="1"/>
    <col min="15363" max="15363" width="6.85546875" customWidth="1"/>
    <col min="15364" max="15364" width="9.140625" customWidth="1"/>
    <col min="15365" max="15365" width="8.7109375" customWidth="1"/>
    <col min="15366" max="15366" width="72.140625" customWidth="1"/>
    <col min="15367" max="15367" width="21.85546875" customWidth="1"/>
    <col min="15617" max="15617" width="16.140625" customWidth="1"/>
    <col min="15618" max="15618" width="20" customWidth="1"/>
    <col min="15619" max="15619" width="6.85546875" customWidth="1"/>
    <col min="15620" max="15620" width="9.140625" customWidth="1"/>
    <col min="15621" max="15621" width="8.7109375" customWidth="1"/>
    <col min="15622" max="15622" width="72.140625" customWidth="1"/>
    <col min="15623" max="15623" width="21.85546875" customWidth="1"/>
    <col min="15873" max="15873" width="16.140625" customWidth="1"/>
    <col min="15874" max="15874" width="20" customWidth="1"/>
    <col min="15875" max="15875" width="6.85546875" customWidth="1"/>
    <col min="15876" max="15876" width="9.140625" customWidth="1"/>
    <col min="15877" max="15877" width="8.7109375" customWidth="1"/>
    <col min="15878" max="15878" width="72.140625" customWidth="1"/>
    <col min="15879" max="15879" width="21.85546875" customWidth="1"/>
    <col min="16129" max="16129" width="16.140625" customWidth="1"/>
    <col min="16130" max="16130" width="20" customWidth="1"/>
    <col min="16131" max="16131" width="6.85546875" customWidth="1"/>
    <col min="16132" max="16132" width="9.140625" customWidth="1"/>
    <col min="16133" max="16133" width="8.7109375" customWidth="1"/>
    <col min="16134" max="16134" width="72.140625" customWidth="1"/>
    <col min="16135" max="16135" width="21.85546875" customWidth="1"/>
  </cols>
  <sheetData>
    <row r="1" spans="1:6">
      <c r="A1" s="151" t="s">
        <v>60</v>
      </c>
      <c r="B1" s="151"/>
      <c r="C1" s="151"/>
      <c r="D1" s="151"/>
      <c r="E1" s="151"/>
      <c r="F1" s="151"/>
    </row>
    <row r="2" spans="1:6" ht="26.25" customHeight="1">
      <c r="A2" s="23"/>
      <c r="B2" s="23"/>
      <c r="C2" s="23"/>
      <c r="D2" s="23"/>
      <c r="E2" s="23"/>
      <c r="F2" s="23"/>
    </row>
    <row r="3" spans="1:6" ht="36">
      <c r="A3" s="24" t="s">
        <v>61</v>
      </c>
      <c r="B3" s="24" t="s">
        <v>62</v>
      </c>
      <c r="C3" s="24" t="s">
        <v>63</v>
      </c>
      <c r="D3" s="24" t="s">
        <v>64</v>
      </c>
      <c r="E3" s="24" t="s">
        <v>65</v>
      </c>
      <c r="F3" s="24" t="s">
        <v>66</v>
      </c>
    </row>
    <row r="4" spans="1:6">
      <c r="A4" s="25" t="s">
        <v>39</v>
      </c>
      <c r="B4" s="25" t="s">
        <v>31</v>
      </c>
      <c r="C4" s="26" t="s">
        <v>67</v>
      </c>
      <c r="D4" s="26" t="s">
        <v>68</v>
      </c>
      <c r="E4" s="26" t="s">
        <v>69</v>
      </c>
      <c r="F4" s="27" t="s">
        <v>70</v>
      </c>
    </row>
    <row r="5" spans="1:6" hidden="1">
      <c r="A5" s="25"/>
      <c r="B5" s="25"/>
      <c r="C5" s="26" t="s">
        <v>67</v>
      </c>
      <c r="D5" s="26" t="s">
        <v>74</v>
      </c>
      <c r="E5" s="26" t="s">
        <v>71</v>
      </c>
      <c r="F5" s="25"/>
    </row>
    <row r="6" spans="1:6" hidden="1">
      <c r="A6" s="28" t="s">
        <v>29</v>
      </c>
      <c r="B6" s="28" t="s">
        <v>30</v>
      </c>
      <c r="C6" s="26" t="s">
        <v>72</v>
      </c>
      <c r="D6" s="26" t="s">
        <v>68</v>
      </c>
      <c r="E6" s="26" t="s">
        <v>73</v>
      </c>
      <c r="F6" s="27"/>
    </row>
    <row r="7" spans="1:6" hidden="1">
      <c r="A7" s="25" t="s">
        <v>40</v>
      </c>
      <c r="B7" s="25" t="s">
        <v>41</v>
      </c>
      <c r="C7" s="26" t="s">
        <v>67</v>
      </c>
      <c r="D7" s="26" t="s">
        <v>74</v>
      </c>
      <c r="E7" s="26" t="s">
        <v>71</v>
      </c>
      <c r="F7" s="25"/>
    </row>
    <row r="8" spans="1:6" hidden="1">
      <c r="A8" s="29"/>
      <c r="B8" s="29"/>
      <c r="C8" s="26" t="s">
        <v>75</v>
      </c>
      <c r="D8" s="26" t="s">
        <v>74</v>
      </c>
      <c r="E8" s="26" t="s">
        <v>71</v>
      </c>
      <c r="F8" s="27"/>
    </row>
    <row r="9" spans="1:6" hidden="1">
      <c r="A9" s="29"/>
      <c r="B9" s="29"/>
      <c r="C9" s="26" t="s">
        <v>77</v>
      </c>
      <c r="D9" s="26" t="s">
        <v>68</v>
      </c>
      <c r="E9" s="26" t="s">
        <v>71</v>
      </c>
      <c r="F9" s="27"/>
    </row>
    <row r="10" spans="1:6" ht="15" hidden="1" customHeight="1">
      <c r="A10" s="30" t="s">
        <v>32</v>
      </c>
      <c r="B10" s="25" t="s">
        <v>33</v>
      </c>
      <c r="C10" s="26" t="s">
        <v>76</v>
      </c>
      <c r="D10" s="26" t="s">
        <v>68</v>
      </c>
      <c r="E10" s="26" t="s">
        <v>69</v>
      </c>
      <c r="F10" s="27"/>
    </row>
    <row r="11" spans="1:6" ht="15" hidden="1" customHeight="1">
      <c r="A11" s="30"/>
      <c r="B11" s="25"/>
      <c r="C11" s="26" t="s">
        <v>67</v>
      </c>
      <c r="D11" s="26" t="s">
        <v>68</v>
      </c>
      <c r="E11" s="26" t="s">
        <v>71</v>
      </c>
      <c r="F11" s="27"/>
    </row>
    <row r="12" spans="1:6" ht="15" hidden="1" customHeight="1">
      <c r="A12" s="30"/>
      <c r="B12" s="25"/>
      <c r="C12" s="26" t="s">
        <v>67</v>
      </c>
      <c r="D12" s="26" t="s">
        <v>68</v>
      </c>
      <c r="E12" s="26" t="s">
        <v>71</v>
      </c>
      <c r="F12" s="27"/>
    </row>
    <row r="13" spans="1:6" hidden="1">
      <c r="A13" s="30" t="s">
        <v>42</v>
      </c>
      <c r="B13" s="25" t="s">
        <v>43</v>
      </c>
      <c r="C13" s="26" t="s">
        <v>67</v>
      </c>
      <c r="D13" s="26" t="s">
        <v>74</v>
      </c>
      <c r="E13" s="26" t="s">
        <v>71</v>
      </c>
      <c r="F13" s="25"/>
    </row>
    <row r="14" spans="1:6" hidden="1">
      <c r="A14" s="30"/>
      <c r="B14" s="25"/>
      <c r="C14" s="26" t="s">
        <v>67</v>
      </c>
      <c r="D14" s="26" t="s">
        <v>68</v>
      </c>
      <c r="E14" s="26" t="s">
        <v>71</v>
      </c>
      <c r="F14" s="25"/>
    </row>
    <row r="15" spans="1:6" hidden="1">
      <c r="A15" s="30"/>
      <c r="B15" s="30"/>
      <c r="C15" s="26" t="s">
        <v>67</v>
      </c>
      <c r="D15" s="26" t="s">
        <v>68</v>
      </c>
      <c r="E15" s="26" t="s">
        <v>71</v>
      </c>
      <c r="F15" s="25"/>
    </row>
    <row r="16" spans="1:6" hidden="1">
      <c r="A16" s="30"/>
      <c r="B16" s="30"/>
      <c r="C16" s="26" t="s">
        <v>89</v>
      </c>
      <c r="D16" s="26" t="s">
        <v>68</v>
      </c>
      <c r="E16" s="26" t="s">
        <v>71</v>
      </c>
      <c r="F16" s="25"/>
    </row>
    <row r="17" spans="1:6" hidden="1">
      <c r="A17" s="30"/>
      <c r="B17" s="30"/>
      <c r="C17" s="26" t="s">
        <v>75</v>
      </c>
      <c r="D17" s="26" t="s">
        <v>74</v>
      </c>
      <c r="E17" s="26" t="s">
        <v>71</v>
      </c>
      <c r="F17" s="25"/>
    </row>
    <row r="18" spans="1:6" hidden="1">
      <c r="A18" s="30"/>
      <c r="B18" s="25"/>
      <c r="C18" s="26"/>
      <c r="D18" s="26"/>
      <c r="E18" s="26"/>
      <c r="F18" s="31"/>
    </row>
    <row r="19" spans="1:6" hidden="1">
      <c r="A19" s="30" t="s">
        <v>13</v>
      </c>
      <c r="B19" s="25" t="s">
        <v>14</v>
      </c>
      <c r="C19" s="26" t="s">
        <v>77</v>
      </c>
      <c r="D19" s="26" t="s">
        <v>68</v>
      </c>
      <c r="E19" s="26" t="s">
        <v>71</v>
      </c>
      <c r="F19" s="32"/>
    </row>
    <row r="20" spans="1:6" hidden="1">
      <c r="A20" s="30"/>
      <c r="B20" s="25"/>
      <c r="C20" s="26" t="s">
        <v>89</v>
      </c>
      <c r="D20" s="26" t="s">
        <v>68</v>
      </c>
      <c r="E20" s="26" t="s">
        <v>71</v>
      </c>
      <c r="F20" s="32"/>
    </row>
    <row r="21" spans="1:6" hidden="1">
      <c r="A21" s="30"/>
      <c r="B21" s="25"/>
      <c r="C21" s="26" t="s">
        <v>89</v>
      </c>
      <c r="D21" s="26" t="s">
        <v>68</v>
      </c>
      <c r="E21" s="26" t="s">
        <v>71</v>
      </c>
      <c r="F21" s="32"/>
    </row>
    <row r="22" spans="1:6" hidden="1">
      <c r="A22" s="30"/>
      <c r="B22" s="25"/>
      <c r="C22" s="26" t="s">
        <v>89</v>
      </c>
      <c r="D22" s="26" t="s">
        <v>92</v>
      </c>
      <c r="E22" s="26" t="s">
        <v>71</v>
      </c>
      <c r="F22" s="32"/>
    </row>
    <row r="23" spans="1:6" hidden="1">
      <c r="A23" s="30" t="s">
        <v>90</v>
      </c>
      <c r="B23" s="25" t="s">
        <v>91</v>
      </c>
      <c r="C23" s="26" t="s">
        <v>89</v>
      </c>
      <c r="D23" s="26" t="s">
        <v>68</v>
      </c>
      <c r="E23" s="26" t="s">
        <v>71</v>
      </c>
      <c r="F23" s="32"/>
    </row>
    <row r="24" spans="1:6" hidden="1">
      <c r="A24" s="30"/>
      <c r="B24" s="30"/>
      <c r="C24" s="33" t="s">
        <v>78</v>
      </c>
      <c r="D24" s="26" t="s">
        <v>74</v>
      </c>
      <c r="E24" s="26" t="s">
        <v>71</v>
      </c>
      <c r="F24" s="30"/>
    </row>
    <row r="25" spans="1:6" hidden="1">
      <c r="A25" s="30"/>
      <c r="B25" s="30"/>
      <c r="C25" s="26" t="s">
        <v>89</v>
      </c>
      <c r="D25" s="26" t="s">
        <v>68</v>
      </c>
      <c r="E25" s="26" t="s">
        <v>71</v>
      </c>
      <c r="F25" s="50"/>
    </row>
    <row r="26" spans="1:6" hidden="1">
      <c r="A26" s="30"/>
      <c r="B26" s="30"/>
      <c r="C26" s="26" t="s">
        <v>89</v>
      </c>
      <c r="D26" s="26" t="s">
        <v>68</v>
      </c>
      <c r="E26" s="26" t="s">
        <v>71</v>
      </c>
      <c r="F26" s="50"/>
    </row>
    <row r="27" spans="1:6" hidden="1">
      <c r="A27" s="30" t="s">
        <v>34</v>
      </c>
      <c r="B27" s="30" t="s">
        <v>35</v>
      </c>
      <c r="C27" s="33" t="s">
        <v>76</v>
      </c>
      <c r="D27" s="26" t="s">
        <v>68</v>
      </c>
      <c r="E27" s="26" t="s">
        <v>69</v>
      </c>
      <c r="F27" s="34"/>
    </row>
    <row r="28" spans="1:6" hidden="1">
      <c r="A28" s="30"/>
      <c r="B28" s="30"/>
      <c r="C28" s="26" t="s">
        <v>89</v>
      </c>
      <c r="D28" s="26" t="s">
        <v>68</v>
      </c>
      <c r="E28" s="26" t="s">
        <v>71</v>
      </c>
      <c r="F28" s="34"/>
    </row>
    <row r="29" spans="1:6" hidden="1">
      <c r="A29" s="30" t="s">
        <v>15</v>
      </c>
      <c r="B29" s="30" t="s">
        <v>16</v>
      </c>
      <c r="C29" s="33" t="s">
        <v>77</v>
      </c>
      <c r="D29" s="26" t="s">
        <v>74</v>
      </c>
      <c r="E29" s="26" t="s">
        <v>69</v>
      </c>
      <c r="F29" s="34"/>
    </row>
    <row r="30" spans="1:6" ht="20.100000000000001" hidden="1" customHeight="1">
      <c r="A30" s="30" t="s">
        <v>93</v>
      </c>
      <c r="B30" s="30" t="s">
        <v>94</v>
      </c>
      <c r="C30" s="26" t="s">
        <v>67</v>
      </c>
      <c r="D30" s="26" t="s">
        <v>68</v>
      </c>
      <c r="E30" s="26" t="s">
        <v>71</v>
      </c>
      <c r="F30" s="34"/>
    </row>
    <row r="31" spans="1:6" hidden="1">
      <c r="A31" s="30" t="s">
        <v>45</v>
      </c>
      <c r="B31" s="30" t="s">
        <v>46</v>
      </c>
      <c r="C31" s="26" t="s">
        <v>67</v>
      </c>
      <c r="D31" s="26" t="s">
        <v>68</v>
      </c>
      <c r="E31" s="26" t="s">
        <v>71</v>
      </c>
      <c r="F31" s="30"/>
    </row>
    <row r="32" spans="1:6" hidden="1">
      <c r="A32" s="30" t="s">
        <v>95</v>
      </c>
      <c r="B32" s="30" t="s">
        <v>96</v>
      </c>
      <c r="C32" s="26" t="s">
        <v>67</v>
      </c>
      <c r="D32" s="26" t="s">
        <v>68</v>
      </c>
      <c r="E32" s="26" t="s">
        <v>71</v>
      </c>
      <c r="F32" s="30"/>
    </row>
    <row r="33" spans="1:6" hidden="1">
      <c r="A33" s="30" t="s">
        <v>17</v>
      </c>
      <c r="B33" s="30" t="s">
        <v>18</v>
      </c>
      <c r="C33" s="33" t="s">
        <v>77</v>
      </c>
      <c r="D33" s="26" t="s">
        <v>68</v>
      </c>
      <c r="E33" s="26" t="s">
        <v>69</v>
      </c>
      <c r="F33" s="35"/>
    </row>
    <row r="34" spans="1:6">
      <c r="A34" s="30" t="s">
        <v>47</v>
      </c>
      <c r="B34" s="30" t="s">
        <v>48</v>
      </c>
      <c r="C34" s="26" t="s">
        <v>67</v>
      </c>
      <c r="D34" s="26" t="s">
        <v>68</v>
      </c>
      <c r="E34" s="26" t="s">
        <v>69</v>
      </c>
      <c r="F34" s="27"/>
    </row>
    <row r="35" spans="1:6" hidden="1">
      <c r="A35" s="30" t="s">
        <v>85</v>
      </c>
      <c r="B35" s="30" t="s">
        <v>86</v>
      </c>
      <c r="C35" s="26" t="s">
        <v>80</v>
      </c>
      <c r="D35" s="26" t="s">
        <v>68</v>
      </c>
      <c r="E35" s="26" t="s">
        <v>71</v>
      </c>
      <c r="F35" s="35"/>
    </row>
    <row r="36" spans="1:6" hidden="1">
      <c r="A36" s="30"/>
      <c r="B36" s="30"/>
      <c r="C36" s="33"/>
      <c r="D36" s="33"/>
      <c r="E36" s="33"/>
      <c r="F36" s="35"/>
    </row>
    <row r="37" spans="1:6" hidden="1">
      <c r="A37" s="30" t="s">
        <v>19</v>
      </c>
      <c r="B37" s="30" t="s">
        <v>20</v>
      </c>
      <c r="C37" s="33" t="s">
        <v>77</v>
      </c>
      <c r="D37" s="26" t="s">
        <v>68</v>
      </c>
      <c r="E37" s="33" t="s">
        <v>145</v>
      </c>
      <c r="F37" s="35" t="s">
        <v>144</v>
      </c>
    </row>
    <row r="38" spans="1:6" hidden="1">
      <c r="A38" s="29"/>
      <c r="B38" s="29"/>
      <c r="C38" s="26" t="s">
        <v>67</v>
      </c>
      <c r="D38" s="26" t="s">
        <v>68</v>
      </c>
      <c r="E38" s="26" t="s">
        <v>71</v>
      </c>
      <c r="F38" s="35"/>
    </row>
    <row r="39" spans="1:6" hidden="1">
      <c r="A39" s="30" t="s">
        <v>49</v>
      </c>
      <c r="B39" s="30" t="s">
        <v>50</v>
      </c>
      <c r="C39" s="26" t="s">
        <v>67</v>
      </c>
      <c r="D39" s="26" t="s">
        <v>68</v>
      </c>
      <c r="E39" s="26" t="s">
        <v>71</v>
      </c>
      <c r="F39" s="30"/>
    </row>
    <row r="40" spans="1:6" hidden="1">
      <c r="A40" s="30"/>
      <c r="B40" s="30"/>
      <c r="C40" s="26" t="s">
        <v>67</v>
      </c>
      <c r="D40" s="26" t="s">
        <v>68</v>
      </c>
      <c r="E40" s="26" t="s">
        <v>71</v>
      </c>
      <c r="F40" s="32"/>
    </row>
    <row r="41" spans="1:6" hidden="1">
      <c r="A41" s="30" t="s">
        <v>21</v>
      </c>
      <c r="B41" s="30" t="s">
        <v>22</v>
      </c>
      <c r="C41" s="26" t="s">
        <v>77</v>
      </c>
      <c r="D41" s="26" t="s">
        <v>68</v>
      </c>
      <c r="E41" s="26" t="s">
        <v>71</v>
      </c>
      <c r="F41" s="32"/>
    </row>
    <row r="42" spans="1:6" hidden="1">
      <c r="A42" s="30" t="s">
        <v>83</v>
      </c>
      <c r="B42" s="30" t="s">
        <v>84</v>
      </c>
      <c r="C42" s="33" t="s">
        <v>77</v>
      </c>
      <c r="D42" s="26" t="s">
        <v>68</v>
      </c>
      <c r="E42" s="26" t="s">
        <v>71</v>
      </c>
      <c r="F42" s="30"/>
    </row>
    <row r="43" spans="1:6" hidden="1">
      <c r="A43" s="30"/>
      <c r="B43" s="30"/>
      <c r="C43" s="33" t="s">
        <v>67</v>
      </c>
      <c r="D43" s="26" t="s">
        <v>74</v>
      </c>
      <c r="E43" s="26" t="s">
        <v>71</v>
      </c>
      <c r="F43" s="30"/>
    </row>
    <row r="44" spans="1:6" hidden="1">
      <c r="A44" s="30"/>
      <c r="B44" s="30"/>
      <c r="C44" s="26" t="s">
        <v>67</v>
      </c>
      <c r="D44" s="26" t="s">
        <v>68</v>
      </c>
      <c r="E44" s="26" t="s">
        <v>71</v>
      </c>
      <c r="F44" s="30"/>
    </row>
    <row r="45" spans="1:6" hidden="1">
      <c r="A45" s="30" t="s">
        <v>23</v>
      </c>
      <c r="B45" s="30" t="s">
        <v>24</v>
      </c>
      <c r="C45" s="33" t="s">
        <v>79</v>
      </c>
      <c r="D45" s="26" t="s">
        <v>68</v>
      </c>
      <c r="E45" s="26" t="s">
        <v>71</v>
      </c>
      <c r="F45" s="30"/>
    </row>
    <row r="46" spans="1:6">
      <c r="A46" s="30" t="s">
        <v>51</v>
      </c>
      <c r="B46" s="30" t="s">
        <v>52</v>
      </c>
      <c r="C46" s="26" t="s">
        <v>67</v>
      </c>
      <c r="D46" s="26" t="s">
        <v>68</v>
      </c>
      <c r="E46" s="26" t="s">
        <v>69</v>
      </c>
      <c r="F46" s="27" t="s">
        <v>70</v>
      </c>
    </row>
    <row r="47" spans="1:6" hidden="1">
      <c r="A47" s="30"/>
      <c r="B47" s="30"/>
      <c r="C47" s="33" t="s">
        <v>67</v>
      </c>
      <c r="D47" s="26" t="s">
        <v>68</v>
      </c>
      <c r="E47" s="26" t="s">
        <v>71</v>
      </c>
      <c r="F47" s="27"/>
    </row>
    <row r="48" spans="1:6">
      <c r="A48" s="30" t="s">
        <v>53</v>
      </c>
      <c r="B48" s="30" t="s">
        <v>54</v>
      </c>
      <c r="C48" s="33" t="s">
        <v>67</v>
      </c>
      <c r="D48" s="26" t="s">
        <v>74</v>
      </c>
      <c r="E48" s="26" t="s">
        <v>69</v>
      </c>
      <c r="F48" s="27" t="s">
        <v>70</v>
      </c>
    </row>
    <row r="49" spans="1:6" hidden="1">
      <c r="A49" s="30"/>
      <c r="B49" s="30"/>
      <c r="C49" s="33" t="s">
        <v>67</v>
      </c>
      <c r="D49" s="26" t="s">
        <v>74</v>
      </c>
      <c r="E49" s="26"/>
      <c r="F49" s="27"/>
    </row>
    <row r="50" spans="1:6" hidden="1">
      <c r="A50" s="30" t="s">
        <v>55</v>
      </c>
      <c r="B50" s="30" t="s">
        <v>56</v>
      </c>
      <c r="C50" s="26" t="s">
        <v>67</v>
      </c>
      <c r="D50" s="26" t="s">
        <v>68</v>
      </c>
      <c r="E50" s="26" t="s">
        <v>71</v>
      </c>
      <c r="F50" s="25"/>
    </row>
    <row r="51" spans="1:6" hidden="1">
      <c r="A51" s="29" t="s">
        <v>36</v>
      </c>
      <c r="B51" s="29" t="s">
        <v>37</v>
      </c>
      <c r="C51" s="26" t="s">
        <v>76</v>
      </c>
      <c r="D51" s="26" t="s">
        <v>74</v>
      </c>
      <c r="E51" s="26" t="s">
        <v>69</v>
      </c>
      <c r="F51" s="35" t="s">
        <v>87</v>
      </c>
    </row>
    <row r="52" spans="1:6" hidden="1">
      <c r="A52" s="36"/>
      <c r="B52" s="36"/>
      <c r="C52" s="26" t="s">
        <v>67</v>
      </c>
      <c r="D52" s="26" t="s">
        <v>68</v>
      </c>
      <c r="E52" s="26" t="s">
        <v>71</v>
      </c>
      <c r="F52" s="37"/>
    </row>
    <row r="53" spans="1:6" hidden="1">
      <c r="A53" s="30" t="s">
        <v>25</v>
      </c>
      <c r="B53" s="25" t="s">
        <v>26</v>
      </c>
      <c r="C53" s="26" t="s">
        <v>77</v>
      </c>
      <c r="D53" s="26" t="s">
        <v>68</v>
      </c>
      <c r="E53" s="26" t="s">
        <v>69</v>
      </c>
      <c r="F53" s="32"/>
    </row>
    <row r="54" spans="1:6" hidden="1">
      <c r="A54" s="30" t="s">
        <v>27</v>
      </c>
      <c r="B54" s="25" t="s">
        <v>28</v>
      </c>
      <c r="C54" s="26" t="s">
        <v>77</v>
      </c>
      <c r="D54" s="26" t="s">
        <v>74</v>
      </c>
      <c r="E54" s="26" t="s">
        <v>69</v>
      </c>
      <c r="F54" s="32"/>
    </row>
    <row r="55" spans="1:6" hidden="1">
      <c r="A55" s="29" t="s">
        <v>38</v>
      </c>
      <c r="B55" s="29" t="s">
        <v>33</v>
      </c>
      <c r="C55" s="26" t="s">
        <v>76</v>
      </c>
      <c r="D55" s="26" t="s">
        <v>74</v>
      </c>
      <c r="E55" s="26" t="s">
        <v>71</v>
      </c>
      <c r="F55" s="27"/>
    </row>
    <row r="56" spans="1:6" hidden="1">
      <c r="A56" s="38" t="s">
        <v>57</v>
      </c>
      <c r="B56" s="38" t="s">
        <v>37</v>
      </c>
      <c r="C56" s="26" t="s">
        <v>67</v>
      </c>
      <c r="D56" s="26" t="s">
        <v>74</v>
      </c>
      <c r="E56" s="26" t="s">
        <v>71</v>
      </c>
      <c r="F56" s="25"/>
    </row>
    <row r="57" spans="1:6" hidden="1">
      <c r="A57" s="29"/>
      <c r="B57" s="29"/>
      <c r="C57" s="26"/>
      <c r="D57" s="26"/>
      <c r="E57" s="26"/>
      <c r="F57" s="35"/>
    </row>
    <row r="58" spans="1:6" hidden="1">
      <c r="A58" s="29" t="s">
        <v>101</v>
      </c>
      <c r="B58" s="29" t="s">
        <v>100</v>
      </c>
      <c r="C58" s="26" t="s">
        <v>77</v>
      </c>
      <c r="D58" s="26" t="s">
        <v>68</v>
      </c>
      <c r="E58" s="26" t="s">
        <v>71</v>
      </c>
      <c r="F58" s="35"/>
    </row>
    <row r="59" spans="1:6">
      <c r="A59" s="29" t="s">
        <v>58</v>
      </c>
      <c r="B59" s="29" t="s">
        <v>44</v>
      </c>
      <c r="C59" s="26" t="s">
        <v>67</v>
      </c>
      <c r="D59" s="26" t="s">
        <v>74</v>
      </c>
      <c r="E59" s="26" t="s">
        <v>69</v>
      </c>
      <c r="F59" s="27" t="s">
        <v>70</v>
      </c>
    </row>
    <row r="60" spans="1:6" ht="38.25" hidden="1">
      <c r="A60" s="48" t="s">
        <v>58</v>
      </c>
      <c r="B60" s="48" t="s">
        <v>35</v>
      </c>
      <c r="C60" s="33" t="s">
        <v>76</v>
      </c>
      <c r="D60" s="26" t="s">
        <v>68</v>
      </c>
      <c r="E60" s="26" t="s">
        <v>69</v>
      </c>
      <c r="F60" s="49" t="s">
        <v>88</v>
      </c>
    </row>
    <row r="61" spans="1:6">
      <c r="A61" s="23"/>
      <c r="B61" s="23"/>
      <c r="C61" s="23"/>
      <c r="D61" s="23"/>
      <c r="E61" s="23"/>
      <c r="F61" s="23"/>
    </row>
    <row r="66" spans="2:2" ht="15.75">
      <c r="B66" s="39"/>
    </row>
    <row r="67" spans="2:2" ht="15.75">
      <c r="B67" s="39"/>
    </row>
    <row r="68" spans="2:2" ht="15.75">
      <c r="B68" s="39"/>
    </row>
  </sheetData>
  <autoFilter ref="A3:F60">
    <filterColumn colId="2">
      <filters>
        <filter val="C.S."/>
      </filters>
    </filterColumn>
    <filterColumn colId="4">
      <filters>
        <filter val="1^ pos."/>
      </filters>
    </filterColumn>
  </autoFilter>
  <mergeCells count="1">
    <mergeCell ref="A1:F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8"/>
  <sheetViews>
    <sheetView topLeftCell="A37" workbookViewId="0">
      <selection activeCell="H14" sqref="H14"/>
    </sheetView>
  </sheetViews>
  <sheetFormatPr defaultRowHeight="17.25"/>
  <cols>
    <col min="1" max="1" width="7.5703125" style="107" customWidth="1"/>
    <col min="2" max="2" width="24" style="107" customWidth="1"/>
    <col min="3" max="3" width="28.42578125" style="107" bestFit="1" customWidth="1"/>
    <col min="4" max="4" width="28.28515625" style="107" hidden="1" customWidth="1"/>
    <col min="5" max="5" width="13.140625" style="107" hidden="1" customWidth="1"/>
    <col min="6" max="6" width="13.42578125" style="107" customWidth="1"/>
    <col min="7" max="8" width="18.140625" style="107" customWidth="1"/>
    <col min="9" max="9" width="17" style="127" customWidth="1"/>
    <col min="10" max="16384" width="9.140625" style="107"/>
  </cols>
  <sheetData>
    <row r="1" spans="1:9" ht="30">
      <c r="A1" s="104" t="s">
        <v>114</v>
      </c>
      <c r="B1" s="105" t="s">
        <v>61</v>
      </c>
      <c r="C1" s="105" t="s">
        <v>62</v>
      </c>
      <c r="D1" s="105" t="s">
        <v>115</v>
      </c>
      <c r="E1" s="105" t="s">
        <v>116</v>
      </c>
      <c r="F1" s="105" t="s">
        <v>213</v>
      </c>
      <c r="G1" s="105" t="s">
        <v>64</v>
      </c>
      <c r="H1" s="105" t="s">
        <v>253</v>
      </c>
      <c r="I1" s="106" t="s">
        <v>252</v>
      </c>
    </row>
    <row r="2" spans="1:9">
      <c r="A2" s="108">
        <v>1</v>
      </c>
      <c r="B2" s="109" t="s">
        <v>39</v>
      </c>
      <c r="C2" s="110" t="s">
        <v>31</v>
      </c>
      <c r="D2" s="110" t="s">
        <v>117</v>
      </c>
      <c r="E2" s="111">
        <v>23512</v>
      </c>
      <c r="F2" s="111" t="s">
        <v>214</v>
      </c>
      <c r="G2" s="111" t="s">
        <v>215</v>
      </c>
      <c r="H2" s="133"/>
      <c r="I2" s="112">
        <v>8</v>
      </c>
    </row>
    <row r="3" spans="1:9">
      <c r="A3" s="108">
        <v>2</v>
      </c>
      <c r="B3" s="109" t="s">
        <v>216</v>
      </c>
      <c r="C3" s="110" t="s">
        <v>217</v>
      </c>
      <c r="D3" s="110"/>
      <c r="E3" s="111"/>
      <c r="F3" s="111" t="s">
        <v>214</v>
      </c>
      <c r="G3" s="111" t="s">
        <v>215</v>
      </c>
      <c r="H3" s="133"/>
      <c r="I3" s="112">
        <v>0</v>
      </c>
    </row>
    <row r="4" spans="1:9">
      <c r="A4" s="108">
        <v>3</v>
      </c>
      <c r="B4" s="109" t="s">
        <v>156</v>
      </c>
      <c r="C4" s="110" t="s">
        <v>157</v>
      </c>
      <c r="D4" s="110" t="s">
        <v>118</v>
      </c>
      <c r="E4" s="111">
        <v>31392</v>
      </c>
      <c r="F4" s="111" t="s">
        <v>214</v>
      </c>
      <c r="G4" s="111" t="s">
        <v>215</v>
      </c>
      <c r="H4" s="133"/>
      <c r="I4" s="112">
        <v>252</v>
      </c>
    </row>
    <row r="5" spans="1:9">
      <c r="A5" s="108">
        <v>4</v>
      </c>
      <c r="B5" s="113" t="s">
        <v>29</v>
      </c>
      <c r="C5" s="113" t="s">
        <v>30</v>
      </c>
      <c r="D5" s="110" t="s">
        <v>119</v>
      </c>
      <c r="E5" s="111">
        <v>21551</v>
      </c>
      <c r="F5" s="111" t="s">
        <v>218</v>
      </c>
      <c r="G5" s="111" t="s">
        <v>215</v>
      </c>
      <c r="H5" s="133"/>
      <c r="I5" s="112">
        <v>6</v>
      </c>
    </row>
    <row r="6" spans="1:9">
      <c r="A6" s="108">
        <v>5</v>
      </c>
      <c r="B6" s="113" t="s">
        <v>158</v>
      </c>
      <c r="C6" s="113" t="s">
        <v>159</v>
      </c>
      <c r="D6" s="110"/>
      <c r="E6" s="111"/>
      <c r="F6" s="111" t="s">
        <v>214</v>
      </c>
      <c r="G6" s="111" t="s">
        <v>215</v>
      </c>
      <c r="H6" s="133"/>
      <c r="I6" s="112">
        <v>4</v>
      </c>
    </row>
    <row r="7" spans="1:9">
      <c r="A7" s="108">
        <v>6</v>
      </c>
      <c r="B7" s="113" t="s">
        <v>160</v>
      </c>
      <c r="C7" s="113" t="s">
        <v>157</v>
      </c>
      <c r="D7" s="110"/>
      <c r="E7" s="111"/>
      <c r="F7" s="111" t="s">
        <v>214</v>
      </c>
      <c r="G7" s="111" t="s">
        <v>215</v>
      </c>
      <c r="H7" s="133"/>
      <c r="I7" s="112">
        <v>0</v>
      </c>
    </row>
    <row r="8" spans="1:9">
      <c r="A8" s="108">
        <v>7</v>
      </c>
      <c r="B8" s="114" t="s">
        <v>219</v>
      </c>
      <c r="C8" s="114" t="s">
        <v>220</v>
      </c>
      <c r="D8" s="110" t="s">
        <v>117</v>
      </c>
      <c r="E8" s="111">
        <v>24317</v>
      </c>
      <c r="F8" s="111" t="s">
        <v>214</v>
      </c>
      <c r="G8" s="111" t="s">
        <v>221</v>
      </c>
      <c r="H8" s="133"/>
      <c r="I8" s="112">
        <v>184</v>
      </c>
    </row>
    <row r="9" spans="1:9">
      <c r="A9" s="108">
        <v>8</v>
      </c>
      <c r="B9" s="110" t="s">
        <v>40</v>
      </c>
      <c r="C9" s="110" t="s">
        <v>41</v>
      </c>
      <c r="D9" s="110" t="s">
        <v>120</v>
      </c>
      <c r="E9" s="111">
        <v>22622</v>
      </c>
      <c r="F9" s="111" t="s">
        <v>214</v>
      </c>
      <c r="G9" s="111" t="s">
        <v>221</v>
      </c>
      <c r="H9" s="133">
        <v>36</v>
      </c>
      <c r="I9" s="112">
        <f>65+17</f>
        <v>82</v>
      </c>
    </row>
    <row r="10" spans="1:9">
      <c r="A10" s="108">
        <v>9</v>
      </c>
      <c r="B10" s="109" t="s">
        <v>32</v>
      </c>
      <c r="C10" s="110" t="s">
        <v>33</v>
      </c>
      <c r="D10" s="110" t="s">
        <v>117</v>
      </c>
      <c r="E10" s="111">
        <v>23408</v>
      </c>
      <c r="F10" s="111" t="s">
        <v>218</v>
      </c>
      <c r="G10" s="111" t="s">
        <v>215</v>
      </c>
      <c r="H10" s="133"/>
      <c r="I10" s="112">
        <v>7</v>
      </c>
    </row>
    <row r="11" spans="1:9">
      <c r="A11" s="108">
        <v>10</v>
      </c>
      <c r="B11" s="109" t="s">
        <v>161</v>
      </c>
      <c r="C11" s="110" t="s">
        <v>22</v>
      </c>
      <c r="D11" s="110"/>
      <c r="E11" s="111"/>
      <c r="F11" s="111" t="s">
        <v>214</v>
      </c>
      <c r="G11" s="111" t="s">
        <v>215</v>
      </c>
      <c r="H11" s="133"/>
      <c r="I11" s="112">
        <v>2</v>
      </c>
    </row>
    <row r="12" spans="1:9">
      <c r="A12" s="108">
        <v>11</v>
      </c>
      <c r="B12" s="109" t="s">
        <v>162</v>
      </c>
      <c r="C12" s="110" t="s">
        <v>163</v>
      </c>
      <c r="D12" s="110"/>
      <c r="E12" s="111"/>
      <c r="F12" s="111" t="s">
        <v>214</v>
      </c>
      <c r="G12" s="111" t="s">
        <v>215</v>
      </c>
      <c r="H12" s="133"/>
      <c r="I12" s="112">
        <v>8</v>
      </c>
    </row>
    <row r="13" spans="1:9">
      <c r="A13" s="108">
        <v>12</v>
      </c>
      <c r="B13" s="109" t="s">
        <v>42</v>
      </c>
      <c r="C13" s="110" t="s">
        <v>43</v>
      </c>
      <c r="D13" s="110" t="s">
        <v>121</v>
      </c>
      <c r="E13" s="111">
        <v>25629</v>
      </c>
      <c r="F13" s="111" t="s">
        <v>214</v>
      </c>
      <c r="G13" s="111" t="s">
        <v>221</v>
      </c>
      <c r="H13" s="133"/>
      <c r="I13" s="112">
        <v>0</v>
      </c>
    </row>
    <row r="14" spans="1:9">
      <c r="A14" s="108">
        <v>13</v>
      </c>
      <c r="B14" s="109" t="s">
        <v>222</v>
      </c>
      <c r="C14" s="110" t="s">
        <v>165</v>
      </c>
      <c r="D14" s="110" t="s">
        <v>122</v>
      </c>
      <c r="E14" s="111">
        <v>33690</v>
      </c>
      <c r="F14" s="111" t="s">
        <v>214</v>
      </c>
      <c r="G14" s="111" t="s">
        <v>221</v>
      </c>
      <c r="H14" s="133">
        <v>5</v>
      </c>
      <c r="I14" s="112">
        <f>12+8</f>
        <v>20</v>
      </c>
    </row>
    <row r="15" spans="1:9">
      <c r="A15" s="108">
        <v>14</v>
      </c>
      <c r="B15" s="109" t="s">
        <v>13</v>
      </c>
      <c r="C15" s="110" t="s">
        <v>14</v>
      </c>
      <c r="D15" s="115" t="s">
        <v>123</v>
      </c>
      <c r="E15" s="111">
        <v>26537</v>
      </c>
      <c r="F15" s="111" t="s">
        <v>223</v>
      </c>
      <c r="G15" s="111" t="s">
        <v>215</v>
      </c>
      <c r="H15" s="133"/>
      <c r="I15" s="112">
        <v>8</v>
      </c>
    </row>
    <row r="16" spans="1:9">
      <c r="A16" s="108">
        <v>15</v>
      </c>
      <c r="B16" s="109" t="s">
        <v>224</v>
      </c>
      <c r="C16" s="110" t="s">
        <v>43</v>
      </c>
      <c r="D16" s="115" t="s">
        <v>124</v>
      </c>
      <c r="E16" s="111">
        <v>28610</v>
      </c>
      <c r="F16" s="111" t="s">
        <v>214</v>
      </c>
      <c r="G16" s="111" t="s">
        <v>221</v>
      </c>
      <c r="H16" s="133"/>
      <c r="I16" s="112">
        <v>4</v>
      </c>
    </row>
    <row r="17" spans="1:9">
      <c r="A17" s="108">
        <v>16</v>
      </c>
      <c r="B17" s="109" t="s">
        <v>225</v>
      </c>
      <c r="C17" s="110" t="s">
        <v>149</v>
      </c>
      <c r="D17" s="115" t="s">
        <v>125</v>
      </c>
      <c r="E17" s="111">
        <v>25374</v>
      </c>
      <c r="F17" s="111" t="s">
        <v>218</v>
      </c>
      <c r="G17" s="111" t="s">
        <v>215</v>
      </c>
      <c r="H17" s="133"/>
      <c r="I17" s="112">
        <v>2</v>
      </c>
    </row>
    <row r="18" spans="1:9">
      <c r="A18" s="108">
        <v>17</v>
      </c>
      <c r="B18" s="109" t="s">
        <v>167</v>
      </c>
      <c r="C18" s="110" t="s">
        <v>168</v>
      </c>
      <c r="D18" s="115" t="s">
        <v>126</v>
      </c>
      <c r="E18" s="111">
        <v>32616</v>
      </c>
      <c r="F18" s="111" t="s">
        <v>214</v>
      </c>
      <c r="G18" s="111" t="s">
        <v>215</v>
      </c>
      <c r="H18" s="133"/>
      <c r="I18" s="112">
        <v>0</v>
      </c>
    </row>
    <row r="19" spans="1:9">
      <c r="A19" s="108">
        <v>18</v>
      </c>
      <c r="B19" s="109" t="s">
        <v>150</v>
      </c>
      <c r="C19" s="110" t="s">
        <v>151</v>
      </c>
      <c r="D19" s="115"/>
      <c r="E19" s="111"/>
      <c r="F19" s="111" t="s">
        <v>218</v>
      </c>
      <c r="G19" s="111" t="s">
        <v>221</v>
      </c>
      <c r="H19" s="133"/>
      <c r="I19" s="112">
        <v>0</v>
      </c>
    </row>
    <row r="20" spans="1:9">
      <c r="A20" s="108">
        <v>19</v>
      </c>
      <c r="B20" s="109" t="s">
        <v>90</v>
      </c>
      <c r="C20" s="110" t="s">
        <v>91</v>
      </c>
      <c r="D20" s="115" t="s">
        <v>117</v>
      </c>
      <c r="E20" s="111">
        <v>21995</v>
      </c>
      <c r="F20" s="111" t="s">
        <v>214</v>
      </c>
      <c r="G20" s="111" t="s">
        <v>215</v>
      </c>
      <c r="H20" s="133"/>
      <c r="I20" s="112">
        <v>0</v>
      </c>
    </row>
    <row r="21" spans="1:9">
      <c r="A21" s="108">
        <v>20</v>
      </c>
      <c r="B21" s="109" t="s">
        <v>34</v>
      </c>
      <c r="C21" s="109" t="s">
        <v>35</v>
      </c>
      <c r="D21" s="109" t="s">
        <v>117</v>
      </c>
      <c r="E21" s="116">
        <v>24775</v>
      </c>
      <c r="F21" s="116" t="s">
        <v>218</v>
      </c>
      <c r="G21" s="111" t="s">
        <v>215</v>
      </c>
      <c r="H21" s="133"/>
      <c r="I21" s="112">
        <v>2</v>
      </c>
    </row>
    <row r="22" spans="1:9">
      <c r="A22" s="108">
        <v>21</v>
      </c>
      <c r="B22" s="109" t="s">
        <v>15</v>
      </c>
      <c r="C22" s="109" t="s">
        <v>16</v>
      </c>
      <c r="D22" s="109" t="s">
        <v>127</v>
      </c>
      <c r="E22" s="116">
        <v>20323</v>
      </c>
      <c r="F22" s="116" t="s">
        <v>223</v>
      </c>
      <c r="G22" s="111" t="s">
        <v>215</v>
      </c>
      <c r="H22" s="133"/>
      <c r="I22" s="112">
        <f>44+6</f>
        <v>50</v>
      </c>
    </row>
    <row r="23" spans="1:9">
      <c r="A23" s="108">
        <v>22</v>
      </c>
      <c r="B23" s="109" t="s">
        <v>152</v>
      </c>
      <c r="C23" s="109" t="s">
        <v>153</v>
      </c>
      <c r="D23" s="109" t="s">
        <v>122</v>
      </c>
      <c r="E23" s="116">
        <v>34278</v>
      </c>
      <c r="F23" s="116" t="s">
        <v>218</v>
      </c>
      <c r="G23" s="111" t="s">
        <v>221</v>
      </c>
      <c r="H23" s="133"/>
      <c r="I23" s="112">
        <v>6</v>
      </c>
    </row>
    <row r="24" spans="1:9">
      <c r="A24" s="108">
        <v>23</v>
      </c>
      <c r="B24" s="109" t="s">
        <v>154</v>
      </c>
      <c r="C24" s="109" t="s">
        <v>43</v>
      </c>
      <c r="D24" s="109"/>
      <c r="E24" s="116"/>
      <c r="F24" s="116" t="s">
        <v>218</v>
      </c>
      <c r="G24" s="111" t="s">
        <v>221</v>
      </c>
      <c r="H24" s="133"/>
      <c r="I24" s="112">
        <v>1</v>
      </c>
    </row>
    <row r="25" spans="1:9">
      <c r="A25" s="108">
        <v>24</v>
      </c>
      <c r="B25" s="109" t="s">
        <v>183</v>
      </c>
      <c r="C25" s="109" t="s">
        <v>155</v>
      </c>
      <c r="D25" s="109"/>
      <c r="E25" s="116"/>
      <c r="F25" s="116" t="s">
        <v>218</v>
      </c>
      <c r="G25" s="111" t="s">
        <v>221</v>
      </c>
      <c r="H25" s="133"/>
      <c r="I25" s="112">
        <v>0</v>
      </c>
    </row>
    <row r="26" spans="1:9">
      <c r="A26" s="108">
        <v>25</v>
      </c>
      <c r="B26" s="109" t="s">
        <v>45</v>
      </c>
      <c r="C26" s="109" t="s">
        <v>46</v>
      </c>
      <c r="D26" s="109" t="s">
        <v>128</v>
      </c>
      <c r="E26" s="116">
        <v>22373</v>
      </c>
      <c r="F26" s="111" t="s">
        <v>214</v>
      </c>
      <c r="G26" s="111" t="s">
        <v>215</v>
      </c>
      <c r="H26" s="133"/>
      <c r="I26" s="112">
        <v>3</v>
      </c>
    </row>
    <row r="27" spans="1:9">
      <c r="A27" s="108">
        <v>26</v>
      </c>
      <c r="B27" s="109" t="s">
        <v>17</v>
      </c>
      <c r="C27" s="109" t="s">
        <v>18</v>
      </c>
      <c r="D27" s="109" t="s">
        <v>117</v>
      </c>
      <c r="E27" s="116">
        <v>24883</v>
      </c>
      <c r="F27" s="116" t="s">
        <v>223</v>
      </c>
      <c r="G27" s="111" t="s">
        <v>215</v>
      </c>
      <c r="H27" s="133"/>
      <c r="I27" s="112">
        <f>65+10</f>
        <v>75</v>
      </c>
    </row>
    <row r="28" spans="1:9">
      <c r="A28" s="108">
        <v>27</v>
      </c>
      <c r="B28" s="109" t="s">
        <v>226</v>
      </c>
      <c r="C28" s="109" t="s">
        <v>170</v>
      </c>
      <c r="D28" s="109"/>
      <c r="E28" s="116"/>
      <c r="F28" s="111" t="s">
        <v>214</v>
      </c>
      <c r="G28" s="111" t="s">
        <v>221</v>
      </c>
      <c r="H28" s="133"/>
      <c r="I28" s="112">
        <v>0</v>
      </c>
    </row>
    <row r="29" spans="1:9">
      <c r="A29" s="108">
        <v>28</v>
      </c>
      <c r="B29" s="109" t="s">
        <v>47</v>
      </c>
      <c r="C29" s="109" t="s">
        <v>48</v>
      </c>
      <c r="D29" s="109" t="s">
        <v>129</v>
      </c>
      <c r="E29" s="116">
        <v>21489</v>
      </c>
      <c r="F29" s="111" t="s">
        <v>214</v>
      </c>
      <c r="G29" s="111" t="s">
        <v>215</v>
      </c>
      <c r="H29" s="133"/>
      <c r="I29" s="112">
        <v>2</v>
      </c>
    </row>
    <row r="30" spans="1:9">
      <c r="A30" s="108">
        <v>29</v>
      </c>
      <c r="B30" s="109" t="s">
        <v>19</v>
      </c>
      <c r="C30" s="109" t="s">
        <v>20</v>
      </c>
      <c r="D30" s="109" t="s">
        <v>117</v>
      </c>
      <c r="E30" s="116">
        <v>22755</v>
      </c>
      <c r="F30" s="111" t="s">
        <v>223</v>
      </c>
      <c r="G30" s="111" t="s">
        <v>215</v>
      </c>
      <c r="H30" s="133"/>
      <c r="I30" s="112">
        <v>7</v>
      </c>
    </row>
    <row r="31" spans="1:9">
      <c r="A31" s="108">
        <v>30</v>
      </c>
      <c r="B31" s="117" t="s">
        <v>227</v>
      </c>
      <c r="C31" s="117" t="s">
        <v>172</v>
      </c>
      <c r="D31" s="109" t="s">
        <v>130</v>
      </c>
      <c r="E31" s="116">
        <v>34698</v>
      </c>
      <c r="F31" s="111" t="s">
        <v>214</v>
      </c>
      <c r="G31" s="111" t="s">
        <v>215</v>
      </c>
      <c r="H31" s="133">
        <v>18</v>
      </c>
      <c r="I31" s="112">
        <f>25+3</f>
        <v>28</v>
      </c>
    </row>
    <row r="32" spans="1:9">
      <c r="A32" s="108">
        <v>31</v>
      </c>
      <c r="B32" s="109" t="s">
        <v>49</v>
      </c>
      <c r="C32" s="109" t="s">
        <v>50</v>
      </c>
      <c r="D32" s="109" t="s">
        <v>117</v>
      </c>
      <c r="E32" s="116">
        <v>23616</v>
      </c>
      <c r="F32" s="111" t="s">
        <v>214</v>
      </c>
      <c r="G32" s="111" t="s">
        <v>215</v>
      </c>
      <c r="H32" s="133"/>
      <c r="I32" s="112">
        <v>14</v>
      </c>
    </row>
    <row r="33" spans="1:9">
      <c r="A33" s="108">
        <v>32</v>
      </c>
      <c r="B33" s="109" t="s">
        <v>21</v>
      </c>
      <c r="C33" s="109" t="s">
        <v>22</v>
      </c>
      <c r="D33" s="109" t="s">
        <v>117</v>
      </c>
      <c r="E33" s="116">
        <v>24266</v>
      </c>
      <c r="F33" s="116" t="s">
        <v>223</v>
      </c>
      <c r="G33" s="111" t="s">
        <v>215</v>
      </c>
      <c r="H33" s="133"/>
      <c r="I33" s="112">
        <v>10</v>
      </c>
    </row>
    <row r="34" spans="1:9">
      <c r="A34" s="108">
        <v>33</v>
      </c>
      <c r="B34" s="109" t="s">
        <v>83</v>
      </c>
      <c r="C34" s="109" t="s">
        <v>84</v>
      </c>
      <c r="D34" s="109" t="s">
        <v>130</v>
      </c>
      <c r="E34" s="116">
        <v>27451</v>
      </c>
      <c r="F34" s="116" t="s">
        <v>223</v>
      </c>
      <c r="G34" s="111" t="s">
        <v>215</v>
      </c>
      <c r="H34" s="133"/>
      <c r="I34" s="112">
        <v>1</v>
      </c>
    </row>
    <row r="35" spans="1:9">
      <c r="A35" s="108">
        <v>34</v>
      </c>
      <c r="B35" s="109" t="s">
        <v>173</v>
      </c>
      <c r="C35" s="109" t="s">
        <v>35</v>
      </c>
      <c r="D35" s="109"/>
      <c r="E35" s="116"/>
      <c r="F35" s="111" t="s">
        <v>214</v>
      </c>
      <c r="G35" s="111" t="s">
        <v>215</v>
      </c>
      <c r="H35" s="133"/>
      <c r="I35" s="112">
        <v>8</v>
      </c>
    </row>
    <row r="36" spans="1:9">
      <c r="A36" s="108">
        <v>35</v>
      </c>
      <c r="B36" s="109" t="s">
        <v>146</v>
      </c>
      <c r="C36" s="109" t="s">
        <v>147</v>
      </c>
      <c r="D36" s="109"/>
      <c r="E36" s="116"/>
      <c r="F36" s="116" t="s">
        <v>223</v>
      </c>
      <c r="G36" s="111" t="s">
        <v>215</v>
      </c>
      <c r="H36" s="133"/>
      <c r="I36" s="112">
        <v>10</v>
      </c>
    </row>
    <row r="37" spans="1:9">
      <c r="A37" s="108">
        <v>36</v>
      </c>
      <c r="B37" s="109" t="s">
        <v>174</v>
      </c>
      <c r="C37" s="109" t="s">
        <v>175</v>
      </c>
      <c r="D37" s="109"/>
      <c r="E37" s="116"/>
      <c r="F37" s="111" t="s">
        <v>214</v>
      </c>
      <c r="G37" s="111" t="s">
        <v>215</v>
      </c>
      <c r="H37" s="133"/>
      <c r="I37" s="112">
        <v>4</v>
      </c>
    </row>
    <row r="38" spans="1:9">
      <c r="A38" s="108">
        <v>37</v>
      </c>
      <c r="B38" s="109" t="s">
        <v>228</v>
      </c>
      <c r="C38" s="109" t="s">
        <v>54</v>
      </c>
      <c r="D38" s="109"/>
      <c r="E38" s="116"/>
      <c r="F38" s="116" t="s">
        <v>223</v>
      </c>
      <c r="G38" s="111" t="s">
        <v>215</v>
      </c>
      <c r="H38" s="133"/>
      <c r="I38" s="112">
        <f>32+3</f>
        <v>35</v>
      </c>
    </row>
    <row r="39" spans="1:9">
      <c r="A39" s="108">
        <v>38</v>
      </c>
      <c r="B39" s="109" t="s">
        <v>176</v>
      </c>
      <c r="C39" s="109" t="s">
        <v>177</v>
      </c>
      <c r="D39" s="109"/>
      <c r="E39" s="116"/>
      <c r="F39" s="111" t="s">
        <v>214</v>
      </c>
      <c r="G39" s="111" t="s">
        <v>215</v>
      </c>
      <c r="H39" s="133"/>
      <c r="I39" s="112">
        <v>3</v>
      </c>
    </row>
    <row r="40" spans="1:9">
      <c r="A40" s="108">
        <v>39</v>
      </c>
      <c r="B40" s="109" t="s">
        <v>23</v>
      </c>
      <c r="C40" s="109" t="s">
        <v>24</v>
      </c>
      <c r="D40" s="109" t="s">
        <v>131</v>
      </c>
      <c r="E40" s="116">
        <v>21837</v>
      </c>
      <c r="F40" s="116" t="s">
        <v>223</v>
      </c>
      <c r="G40" s="111" t="s">
        <v>215</v>
      </c>
      <c r="H40" s="133"/>
      <c r="I40" s="112">
        <f>25+4</f>
        <v>29</v>
      </c>
    </row>
    <row r="41" spans="1:9">
      <c r="A41" s="108">
        <v>40</v>
      </c>
      <c r="B41" s="109" t="s">
        <v>229</v>
      </c>
      <c r="C41" s="109" t="s">
        <v>52</v>
      </c>
      <c r="D41" s="109" t="s">
        <v>117</v>
      </c>
      <c r="E41" s="116">
        <v>20569</v>
      </c>
      <c r="F41" s="111" t="s">
        <v>214</v>
      </c>
      <c r="G41" s="111" t="s">
        <v>215</v>
      </c>
      <c r="H41" s="133">
        <v>54</v>
      </c>
      <c r="I41" s="112">
        <v>54</v>
      </c>
    </row>
    <row r="42" spans="1:9">
      <c r="A42" s="108">
        <v>41</v>
      </c>
      <c r="B42" s="109" t="s">
        <v>53</v>
      </c>
      <c r="C42" s="109" t="s">
        <v>54</v>
      </c>
      <c r="D42" s="109" t="s">
        <v>132</v>
      </c>
      <c r="E42" s="116">
        <v>19500</v>
      </c>
      <c r="F42" s="111" t="s">
        <v>214</v>
      </c>
      <c r="G42" s="111" t="s">
        <v>221</v>
      </c>
      <c r="H42" s="133"/>
      <c r="I42" s="112">
        <v>0</v>
      </c>
    </row>
    <row r="43" spans="1:9">
      <c r="A43" s="108">
        <v>42</v>
      </c>
      <c r="B43" s="109" t="s">
        <v>178</v>
      </c>
      <c r="C43" s="109" t="s">
        <v>35</v>
      </c>
      <c r="D43" s="109" t="s">
        <v>117</v>
      </c>
      <c r="E43" s="116">
        <v>20303</v>
      </c>
      <c r="F43" s="111" t="s">
        <v>214</v>
      </c>
      <c r="G43" s="111" t="s">
        <v>221</v>
      </c>
      <c r="H43" s="133"/>
      <c r="I43" s="112">
        <v>0</v>
      </c>
    </row>
    <row r="44" spans="1:9">
      <c r="A44" s="108">
        <v>43</v>
      </c>
      <c r="B44" s="118" t="s">
        <v>230</v>
      </c>
      <c r="C44" s="118" t="s">
        <v>231</v>
      </c>
      <c r="D44" s="110" t="s">
        <v>117</v>
      </c>
      <c r="E44" s="111">
        <v>25323</v>
      </c>
      <c r="F44" s="111" t="s">
        <v>214</v>
      </c>
      <c r="G44" s="111" t="s">
        <v>215</v>
      </c>
      <c r="H44" s="133"/>
      <c r="I44" s="112">
        <v>2</v>
      </c>
    </row>
    <row r="45" spans="1:9">
      <c r="A45" s="108">
        <v>44</v>
      </c>
      <c r="B45" s="109" t="s">
        <v>55</v>
      </c>
      <c r="C45" s="110" t="s">
        <v>56</v>
      </c>
      <c r="D45" s="110" t="s">
        <v>117</v>
      </c>
      <c r="E45" s="111">
        <v>22712</v>
      </c>
      <c r="F45" s="111" t="s">
        <v>214</v>
      </c>
      <c r="G45" s="111" t="s">
        <v>221</v>
      </c>
      <c r="H45" s="133"/>
      <c r="I45" s="112">
        <v>0</v>
      </c>
    </row>
    <row r="46" spans="1:9">
      <c r="A46" s="108">
        <v>45</v>
      </c>
      <c r="B46" s="117" t="s">
        <v>36</v>
      </c>
      <c r="C46" s="117" t="s">
        <v>37</v>
      </c>
      <c r="D46" s="119" t="s">
        <v>117</v>
      </c>
      <c r="E46" s="111">
        <v>22441</v>
      </c>
      <c r="F46" s="111" t="s">
        <v>218</v>
      </c>
      <c r="G46" s="111" t="s">
        <v>221</v>
      </c>
      <c r="H46" s="133"/>
      <c r="I46" s="112">
        <v>109</v>
      </c>
    </row>
    <row r="47" spans="1:9">
      <c r="A47" s="108">
        <v>46</v>
      </c>
      <c r="B47" s="109" t="s">
        <v>232</v>
      </c>
      <c r="C47" s="110" t="s">
        <v>233</v>
      </c>
      <c r="D47" s="110" t="s">
        <v>117</v>
      </c>
      <c r="E47" s="111">
        <v>22324</v>
      </c>
      <c r="F47" s="111" t="s">
        <v>234</v>
      </c>
      <c r="G47" s="111" t="s">
        <v>215</v>
      </c>
      <c r="H47" s="133"/>
      <c r="I47" s="112">
        <v>0</v>
      </c>
    </row>
    <row r="48" spans="1:9">
      <c r="A48" s="108">
        <v>47</v>
      </c>
      <c r="B48" s="109" t="s">
        <v>25</v>
      </c>
      <c r="C48" s="110" t="s">
        <v>26</v>
      </c>
      <c r="D48" s="110" t="s">
        <v>117</v>
      </c>
      <c r="E48" s="111">
        <v>24335</v>
      </c>
      <c r="F48" s="111" t="s">
        <v>223</v>
      </c>
      <c r="G48" s="111" t="s">
        <v>215</v>
      </c>
      <c r="H48" s="133"/>
      <c r="I48" s="112">
        <v>5</v>
      </c>
    </row>
    <row r="49" spans="1:9">
      <c r="A49" s="108">
        <v>48</v>
      </c>
      <c r="B49" s="109" t="s">
        <v>27</v>
      </c>
      <c r="C49" s="110" t="s">
        <v>28</v>
      </c>
      <c r="D49" s="110" t="s">
        <v>133</v>
      </c>
      <c r="E49" s="111">
        <v>19908</v>
      </c>
      <c r="F49" s="111" t="s">
        <v>223</v>
      </c>
      <c r="G49" s="111" t="s">
        <v>215</v>
      </c>
      <c r="H49" s="133"/>
      <c r="I49" s="112">
        <f>84+9</f>
        <v>93</v>
      </c>
    </row>
    <row r="50" spans="1:9">
      <c r="A50" s="108">
        <v>49</v>
      </c>
      <c r="B50" s="109" t="s">
        <v>179</v>
      </c>
      <c r="C50" s="110" t="s">
        <v>180</v>
      </c>
      <c r="D50" s="110"/>
      <c r="E50" s="111"/>
      <c r="F50" s="111" t="s">
        <v>214</v>
      </c>
      <c r="G50" s="111" t="s">
        <v>221</v>
      </c>
      <c r="H50" s="133"/>
      <c r="I50" s="112">
        <f>3+9</f>
        <v>12</v>
      </c>
    </row>
    <row r="51" spans="1:9">
      <c r="A51" s="108">
        <v>50</v>
      </c>
      <c r="B51" s="117" t="s">
        <v>38</v>
      </c>
      <c r="C51" s="117" t="s">
        <v>33</v>
      </c>
      <c r="D51" s="110" t="s">
        <v>117</v>
      </c>
      <c r="E51" s="111">
        <v>24644</v>
      </c>
      <c r="F51" s="111" t="s">
        <v>218</v>
      </c>
      <c r="G51" s="111" t="s">
        <v>221</v>
      </c>
      <c r="H51" s="133"/>
      <c r="I51" s="112">
        <v>14</v>
      </c>
    </row>
    <row r="52" spans="1:9">
      <c r="A52" s="108">
        <v>51</v>
      </c>
      <c r="B52" s="117" t="s">
        <v>235</v>
      </c>
      <c r="C52" s="117" t="s">
        <v>236</v>
      </c>
      <c r="D52" s="110"/>
      <c r="E52" s="111"/>
      <c r="F52" s="111" t="s">
        <v>214</v>
      </c>
      <c r="G52" s="111" t="s">
        <v>215</v>
      </c>
      <c r="H52" s="133"/>
      <c r="I52" s="112">
        <v>0</v>
      </c>
    </row>
    <row r="53" spans="1:9">
      <c r="A53" s="108">
        <v>52</v>
      </c>
      <c r="B53" s="119" t="s">
        <v>57</v>
      </c>
      <c r="C53" s="119" t="s">
        <v>37</v>
      </c>
      <c r="D53" s="110" t="s">
        <v>134</v>
      </c>
      <c r="E53" s="111">
        <v>22334</v>
      </c>
      <c r="F53" s="111" t="s">
        <v>214</v>
      </c>
      <c r="G53" s="111" t="s">
        <v>221</v>
      </c>
      <c r="H53" s="133"/>
      <c r="I53" s="112">
        <v>148</v>
      </c>
    </row>
    <row r="54" spans="1:9">
      <c r="A54" s="108">
        <v>53</v>
      </c>
      <c r="B54" s="117" t="s">
        <v>101</v>
      </c>
      <c r="C54" s="117" t="s">
        <v>100</v>
      </c>
      <c r="D54" s="110" t="s">
        <v>117</v>
      </c>
      <c r="E54" s="111">
        <v>27099</v>
      </c>
      <c r="F54" s="111" t="s">
        <v>223</v>
      </c>
      <c r="G54" s="111" t="s">
        <v>215</v>
      </c>
      <c r="H54" s="133"/>
      <c r="I54" s="112">
        <v>1</v>
      </c>
    </row>
    <row r="55" spans="1:9">
      <c r="A55" s="108">
        <v>54</v>
      </c>
      <c r="B55" s="117" t="s">
        <v>58</v>
      </c>
      <c r="C55" s="117" t="s">
        <v>44</v>
      </c>
      <c r="D55" s="120" t="s">
        <v>237</v>
      </c>
      <c r="E55" s="111">
        <v>24233</v>
      </c>
      <c r="F55" s="111" t="s">
        <v>214</v>
      </c>
      <c r="G55" s="111" t="s">
        <v>221</v>
      </c>
      <c r="H55" s="133"/>
      <c r="I55" s="112">
        <v>9</v>
      </c>
    </row>
    <row r="56" spans="1:9">
      <c r="A56" s="108">
        <v>55</v>
      </c>
      <c r="B56" s="117" t="s">
        <v>58</v>
      </c>
      <c r="C56" s="117" t="s">
        <v>35</v>
      </c>
      <c r="D56" s="110" t="s">
        <v>135</v>
      </c>
      <c r="E56" s="111">
        <v>21823</v>
      </c>
      <c r="F56" s="111" t="s">
        <v>218</v>
      </c>
      <c r="G56" s="111" t="s">
        <v>215</v>
      </c>
      <c r="H56" s="133"/>
      <c r="I56" s="112">
        <v>2</v>
      </c>
    </row>
    <row r="57" spans="1:9">
      <c r="A57" s="121"/>
      <c r="B57" s="122"/>
      <c r="C57" s="122"/>
      <c r="D57" s="122"/>
      <c r="E57" s="123"/>
      <c r="F57" s="123"/>
      <c r="G57" s="123"/>
      <c r="H57" s="123"/>
      <c r="I57" s="124"/>
    </row>
    <row r="58" spans="1:9">
      <c r="A58" s="125" t="s">
        <v>238</v>
      </c>
      <c r="B58" s="125"/>
      <c r="C58" s="126">
        <f ca="1">NOW()</f>
        <v>44020.40911886574</v>
      </c>
    </row>
  </sheetData>
  <autoFilter ref="A1:F6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</vt:i4>
      </vt:variant>
    </vt:vector>
  </HeadingPairs>
  <TitlesOfParts>
    <vt:vector size="5" baseType="lpstr">
      <vt:lpstr>foglio1</vt:lpstr>
      <vt:lpstr>servizio</vt:lpstr>
      <vt:lpstr>posizioni economiche</vt:lpstr>
      <vt:lpstr>assenze</vt:lpstr>
      <vt:lpstr>foglio1!Area_stampa</vt:lpstr>
    </vt:vector>
  </TitlesOfParts>
  <Company>CESENA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Itis Blaise Pascal</dc:creator>
  <cp:lastModifiedBy>graziella.serra</cp:lastModifiedBy>
  <cp:lastPrinted>2020-07-08T07:38:37Z</cp:lastPrinted>
  <dcterms:created xsi:type="dcterms:W3CDTF">1998-07-18T08:46:52Z</dcterms:created>
  <dcterms:modified xsi:type="dcterms:W3CDTF">2020-07-08T07:50:10Z</dcterms:modified>
</cp:coreProperties>
</file>